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317904c7e3f29b8/ERONERGY_SOLUTIONS/TRAININGS/INTERPORE_JULY_25/"/>
    </mc:Choice>
  </mc:AlternateContent>
  <xr:revisionPtr revIDLastSave="192" documentId="8_{FB597995-6948-4DB7-9FD8-4D9639FD626C}" xr6:coauthVersionLast="47" xr6:coauthVersionMax="47" xr10:uidLastSave="{BCD19C64-2BFD-4933-A6E6-956589319F4A}"/>
  <bookViews>
    <workbookView xWindow="-108" yWindow="-108" windowWidth="23256" windowHeight="12456" xr2:uid="{CBBED898-1AFF-463F-9DDE-FCD79CF199FE}"/>
  </bookViews>
  <sheets>
    <sheet name="Compressibility" sheetId="3" r:id="rId1"/>
    <sheet name="Viscosity" sheetId="2" r:id="rId2"/>
    <sheet name="Inplace_Flowing_Enthalpy" sheetId="5" r:id="rId3"/>
    <sheet name="Tracers" sheetId="1" r:id="rId4"/>
    <sheet name="Thermal Breakthrough_tccalc" sheetId="7" r:id="rId5"/>
    <sheet name="Thermal Breakthrough_tcknown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9" i="8"/>
  <c r="B30" i="8"/>
  <c r="B20" i="8"/>
  <c r="B19" i="8"/>
  <c r="B18" i="8"/>
  <c r="B15" i="8"/>
  <c r="B22" i="8" s="1"/>
  <c r="B30" i="7"/>
  <c r="B20" i="7"/>
  <c r="B19" i="7"/>
  <c r="B18" i="7"/>
  <c r="B15" i="7"/>
  <c r="B22" i="7" s="1"/>
  <c r="B22" i="1"/>
  <c r="C3" i="1"/>
  <c r="C4" i="1"/>
  <c r="C5" i="1"/>
  <c r="C6" i="1"/>
  <c r="C7" i="1"/>
  <c r="C8" i="1"/>
  <c r="C9" i="1"/>
  <c r="C10" i="1"/>
  <c r="C19" i="1" s="1"/>
  <c r="C11" i="1"/>
  <c r="C12" i="1"/>
  <c r="C13" i="1"/>
  <c r="C14" i="1"/>
  <c r="C15" i="1"/>
  <c r="C16" i="1"/>
  <c r="C17" i="1"/>
  <c r="C18" i="1"/>
  <c r="C2" i="1"/>
  <c r="C8" i="5"/>
  <c r="C7" i="5"/>
  <c r="B28" i="5" s="1"/>
  <c r="B1" i="2"/>
  <c r="C6" i="5" s="1"/>
  <c r="E1" i="2"/>
  <c r="B23" i="5"/>
  <c r="B24" i="5"/>
  <c r="B25" i="5"/>
  <c r="B27" i="5"/>
  <c r="B29" i="5"/>
  <c r="B30" i="5"/>
  <c r="B31" i="5"/>
  <c r="B32" i="5"/>
  <c r="B33" i="5"/>
  <c r="B34" i="5"/>
  <c r="B35" i="5"/>
  <c r="B36" i="5"/>
  <c r="B21" i="5"/>
  <c r="B20" i="5"/>
  <c r="A20" i="5"/>
  <c r="F20" i="5" s="1"/>
  <c r="A24" i="5"/>
  <c r="F24" i="5" s="1"/>
  <c r="A32" i="5"/>
  <c r="F32" i="5" s="1"/>
  <c r="B19" i="1"/>
  <c r="B17" i="3"/>
  <c r="B18" i="3"/>
  <c r="B13" i="3"/>
  <c r="D23" i="8" l="1"/>
  <c r="B24" i="8"/>
  <c r="B31" i="8"/>
  <c r="B32" i="8" s="1"/>
  <c r="B23" i="7"/>
  <c r="D23" i="7" s="1"/>
  <c r="B24" i="7"/>
  <c r="B31" i="7"/>
  <c r="B32" i="7" s="1"/>
  <c r="B33" i="7" s="1"/>
  <c r="D33" i="7" s="1"/>
  <c r="B26" i="5"/>
  <c r="B22" i="5"/>
  <c r="B5" i="2"/>
  <c r="B20" i="2"/>
  <c r="B19" i="2"/>
  <c r="B10" i="2"/>
  <c r="B17" i="2"/>
  <c r="B24" i="2"/>
  <c r="B16" i="2"/>
  <c r="B8" i="2"/>
  <c r="B12" i="2"/>
  <c r="B11" i="2"/>
  <c r="B4" i="2"/>
  <c r="B9" i="2"/>
  <c r="B23" i="2"/>
  <c r="B15" i="2"/>
  <c r="B7" i="2"/>
  <c r="B6" i="2"/>
  <c r="C5" i="5"/>
  <c r="G23" i="5" s="1"/>
  <c r="B18" i="2"/>
  <c r="B22" i="2"/>
  <c r="B14" i="2"/>
  <c r="B21" i="2"/>
  <c r="B13" i="2"/>
  <c r="A31" i="5"/>
  <c r="F31" i="5" s="1"/>
  <c r="A30" i="5"/>
  <c r="F30" i="5" s="1"/>
  <c r="A22" i="5"/>
  <c r="F22" i="5" s="1"/>
  <c r="A23" i="5"/>
  <c r="F23" i="5" s="1"/>
  <c r="A29" i="5"/>
  <c r="F29" i="5" s="1"/>
  <c r="A21" i="5"/>
  <c r="F21" i="5" s="1"/>
  <c r="A35" i="5"/>
  <c r="F35" i="5" s="1"/>
  <c r="A27" i="5"/>
  <c r="F27" i="5" s="1"/>
  <c r="A28" i="5"/>
  <c r="F28" i="5" s="1"/>
  <c r="A34" i="5"/>
  <c r="F34" i="5" s="1"/>
  <c r="A26" i="5"/>
  <c r="F26" i="5" s="1"/>
  <c r="A36" i="5"/>
  <c r="F36" i="5" s="1"/>
  <c r="A33" i="5"/>
  <c r="F33" i="5" s="1"/>
  <c r="A25" i="5"/>
  <c r="F25" i="5" s="1"/>
  <c r="G30" i="5"/>
  <c r="G26" i="5"/>
  <c r="B20" i="3"/>
  <c r="B33" i="8" l="1"/>
  <c r="D33" i="8" s="1"/>
  <c r="D32" i="8"/>
  <c r="B27" i="8"/>
  <c r="B28" i="8" s="1"/>
  <c r="D28" i="8" s="1"/>
  <c r="B25" i="8"/>
  <c r="D25" i="8" s="1"/>
  <c r="D32" i="7"/>
  <c r="B27" i="7"/>
  <c r="B28" i="7" s="1"/>
  <c r="D28" i="7" s="1"/>
  <c r="B25" i="7"/>
  <c r="G20" i="5"/>
  <c r="G32" i="5"/>
  <c r="G29" i="5"/>
  <c r="G36" i="5"/>
  <c r="G35" i="5"/>
  <c r="G25" i="5"/>
  <c r="G27" i="5"/>
  <c r="G34" i="5"/>
  <c r="G28" i="5"/>
  <c r="G33" i="5"/>
  <c r="G31" i="5"/>
  <c r="G22" i="5"/>
  <c r="G24" i="5"/>
  <c r="G21" i="5"/>
  <c r="D25" i="7"/>
</calcChain>
</file>

<file path=xl/sharedStrings.xml><?xml version="1.0" encoding="utf-8"?>
<sst xmlns="http://schemas.openxmlformats.org/spreadsheetml/2006/main" count="174" uniqueCount="92">
  <si>
    <t>Steam Fraction</t>
  </si>
  <si>
    <t>Effective Viscosity</t>
  </si>
  <si>
    <t>Viscosity of Steam</t>
  </si>
  <si>
    <t>Viscosity of Water</t>
  </si>
  <si>
    <t>Res Temp</t>
  </si>
  <si>
    <t>Sw</t>
  </si>
  <si>
    <t>Porosity</t>
  </si>
  <si>
    <t>Rock density</t>
  </si>
  <si>
    <t>Rock specific heat</t>
  </si>
  <si>
    <t>Water density</t>
  </si>
  <si>
    <t>Water specific heat</t>
  </si>
  <si>
    <t>Steam density</t>
  </si>
  <si>
    <t>Latent heat of evaporation</t>
  </si>
  <si>
    <t>dPsat</t>
  </si>
  <si>
    <t>dT</t>
  </si>
  <si>
    <t>C</t>
  </si>
  <si>
    <t>kg/m3</t>
  </si>
  <si>
    <t>KJ/kgC</t>
  </si>
  <si>
    <t>water compressibility</t>
  </si>
  <si>
    <t>steam compressibility</t>
  </si>
  <si>
    <t>T (°C)</t>
  </si>
  <si>
    <t>MPa</t>
  </si>
  <si>
    <t>KJ/kg</t>
  </si>
  <si>
    <t>numerator</t>
  </si>
  <si>
    <t>denominator</t>
  </si>
  <si>
    <t>dPsat/dT</t>
  </si>
  <si>
    <t>kPa/C</t>
  </si>
  <si>
    <t>1/kPa</t>
  </si>
  <si>
    <r>
      <t>psat</t>
    </r>
    <r>
      <rPr>
        <sz val="11"/>
        <color rgb="FF9B9B9B"/>
        <rFont val="Calibri"/>
        <family val="2"/>
      </rPr>
      <t>​ (MPa)</t>
    </r>
  </si>
  <si>
    <t>Effective compressibility, ct</t>
  </si>
  <si>
    <t>mPa.s</t>
  </si>
  <si>
    <t>tc</t>
  </si>
  <si>
    <t>Time X Concentration</t>
  </si>
  <si>
    <t>SUM</t>
  </si>
  <si>
    <t>Water enthalpy</t>
  </si>
  <si>
    <t>Steam enthalpy</t>
  </si>
  <si>
    <t>Water viscosity</t>
  </si>
  <si>
    <t>Steam viscosity</t>
  </si>
  <si>
    <t>Specific volume of water</t>
  </si>
  <si>
    <t>Specific volume of steam</t>
  </si>
  <si>
    <t>Krw</t>
  </si>
  <si>
    <t>Krs</t>
  </si>
  <si>
    <t>x</t>
  </si>
  <si>
    <t>In place enthalpy</t>
  </si>
  <si>
    <t>Flowing enthalpy</t>
  </si>
  <si>
    <t>Temperature=</t>
  </si>
  <si>
    <t>250C</t>
  </si>
  <si>
    <t>1-x</t>
  </si>
  <si>
    <t>J/kg-degC</t>
  </si>
  <si>
    <t>kg/sec</t>
  </si>
  <si>
    <t>Tinj</t>
  </si>
  <si>
    <t>degC</t>
  </si>
  <si>
    <t>m</t>
  </si>
  <si>
    <t>w</t>
  </si>
  <si>
    <t>width perp to flow</t>
  </si>
  <si>
    <t>h</t>
  </si>
  <si>
    <t>height</t>
  </si>
  <si>
    <t>b</t>
  </si>
  <si>
    <t>frac aperture</t>
  </si>
  <si>
    <t>Tres</t>
  </si>
  <si>
    <t>m3/sec</t>
  </si>
  <si>
    <t>rr.Cr</t>
  </si>
  <si>
    <t>rA.CA</t>
  </si>
  <si>
    <t>rw.Cw</t>
  </si>
  <si>
    <t>A</t>
  </si>
  <si>
    <t>vw</t>
  </si>
  <si>
    <t>m/sec</t>
  </si>
  <si>
    <t>porous medium</t>
  </si>
  <si>
    <t>sec</t>
  </si>
  <si>
    <t>yrs</t>
  </si>
  <si>
    <t>vth</t>
  </si>
  <si>
    <t>tth</t>
  </si>
  <si>
    <t>vth*</t>
  </si>
  <si>
    <t>with heat loss</t>
  </si>
  <si>
    <t>tth*</t>
  </si>
  <si>
    <t>Afrac</t>
  </si>
  <si>
    <t>fracture</t>
  </si>
  <si>
    <t>por=1 in this case</t>
  </si>
  <si>
    <t>Rock specific heat capacity</t>
  </si>
  <si>
    <t>water density at reservoir</t>
  </si>
  <si>
    <t>water heat capacity</t>
  </si>
  <si>
    <t>water density at injection</t>
  </si>
  <si>
    <t>Volumetric flow rate</t>
  </si>
  <si>
    <t>Mass flow rate</t>
  </si>
  <si>
    <t>length n direction of flow, distance between wells</t>
  </si>
  <si>
    <t>r represents rho for density</t>
  </si>
  <si>
    <t>porosity</t>
  </si>
  <si>
    <t>Time from Injection (hours) ti</t>
  </si>
  <si>
    <t>Dye Concentration (µg/L) Ci</t>
  </si>
  <si>
    <t>Kr, thermal conductivity of the rock</t>
  </si>
  <si>
    <t>hrs</t>
  </si>
  <si>
    <t>Distance between wells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</si>
</sst>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9B9B9B"/>
      <name val="Calibri"/>
      <family val="2"/>
    </font>
    <font>
      <i/>
      <sz val="11"/>
      <color rgb="FF9B9B9B"/>
      <name val="Calibri"/>
      <family val="2"/>
    </font>
    <font>
      <sz val="11"/>
      <color rgb="FF171717"/>
      <name val="Calibri"/>
      <family val="2"/>
    </font>
    <font>
      <sz val="14"/>
      <color rgb="FF000000"/>
      <name val="Times New Roman"/>
      <family val="1"/>
    </font>
    <font>
      <sz val="12"/>
      <color rgb="FF4E4E4E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ECECEC"/>
      </left>
      <right style="medium">
        <color rgb="FFECECEC"/>
      </right>
      <top style="medium">
        <color rgb="FFECECEC"/>
      </top>
      <bottom style="medium">
        <color rgb="FFECECEC"/>
      </bottom>
      <diagonal/>
    </border>
  </borders>
  <cellStyleXfs count="2">
    <xf numFmtId="0" fontId="0" fillId="0" borderId="0"/>
    <xf numFmtId="0" fontId="9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1" fontId="0" fillId="0" borderId="0" xfId="0" applyNumberFormat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3" borderId="0" xfId="0" applyFill="1"/>
    <xf numFmtId="11" fontId="0" fillId="3" borderId="0" xfId="0" applyNumberFormat="1" applyFill="1"/>
    <xf numFmtId="0" fontId="1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/>
    <xf numFmtId="0" fontId="9" fillId="0" borderId="0" xfId="1"/>
    <xf numFmtId="0" fontId="9" fillId="3" borderId="0" xfId="1" applyFill="1"/>
    <xf numFmtId="0" fontId="8" fillId="3" borderId="0" xfId="0" applyFont="1" applyFill="1"/>
    <xf numFmtId="11" fontId="7" fillId="0" borderId="0" xfId="0" applyNumberFormat="1" applyFont="1"/>
    <xf numFmtId="0" fontId="9" fillId="0" borderId="0" xfId="0" applyFont="1"/>
  </cellXfs>
  <cellStyles count="2">
    <cellStyle name="Normal" xfId="0" builtinId="0"/>
    <cellStyle name="Normal 2" xfId="1" xr:uid="{C9C8DA34-B602-4985-B486-1418F8202E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Viscosity!$B$3</c:f>
              <c:strCache>
                <c:ptCount val="1"/>
                <c:pt idx="0">
                  <c:v>Effective Viscosity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Viscosity!$A$4:$A$24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xVal>
          <c:yVal>
            <c:numRef>
              <c:f>Viscosity!$B$4:$B$24</c:f>
              <c:numCache>
                <c:formatCode>General</c:formatCode>
                <c:ptCount val="21"/>
                <c:pt idx="0">
                  <c:v>0.10611175918771</c:v>
                </c:pt>
                <c:pt idx="1">
                  <c:v>8.4667922535524104E-2</c:v>
                </c:pt>
                <c:pt idx="2">
                  <c:v>7.0434089134670377E-2</c:v>
                </c:pt>
                <c:pt idx="3">
                  <c:v>6.0297291451030632E-2</c:v>
                </c:pt>
                <c:pt idx="4">
                  <c:v>5.2711158687109551E-2</c:v>
                </c:pt>
                <c:pt idx="5">
                  <c:v>4.6820562380795808E-2</c:v>
                </c:pt>
                <c:pt idx="6">
                  <c:v>4.2114201080681146E-2</c:v>
                </c:pt>
                <c:pt idx="7">
                  <c:v>3.8267578150525595E-2</c:v>
                </c:pt>
                <c:pt idx="8">
                  <c:v>3.5064830010922532E-2</c:v>
                </c:pt>
                <c:pt idx="9">
                  <c:v>3.235677755198367E-2</c:v>
                </c:pt>
                <c:pt idx="10">
                  <c:v>3.0037022074415838E-2</c:v>
                </c:pt>
                <c:pt idx="11">
                  <c:v>2.8027635887291194E-2</c:v>
                </c:pt>
                <c:pt idx="12">
                  <c:v>2.6270236307592572E-2</c:v>
                </c:pt>
                <c:pt idx="13">
                  <c:v>2.4720219612238518E-2</c:v>
                </c:pt>
                <c:pt idx="14">
                  <c:v>2.3342922536337372E-2</c:v>
                </c:pt>
                <c:pt idx="15">
                  <c:v>2.2110999233577486E-2</c:v>
                </c:pt>
                <c:pt idx="16">
                  <c:v>2.1002587185685234E-2</c:v>
                </c:pt>
                <c:pt idx="17">
                  <c:v>1.9999998429608586E-2</c:v>
                </c:pt>
                <c:pt idx="18">
                  <c:v>1.9088768562592544E-2</c:v>
                </c:pt>
                <c:pt idx="19">
                  <c:v>1.8256954391179244E-2</c:v>
                </c:pt>
                <c:pt idx="20">
                  <c:v>1.7494607546600999E-2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3A9-4DF5-8831-EE2C96BAD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2241792"/>
        <c:axId val="2032248992"/>
      </c:scatterChart>
      <c:valAx>
        <c:axId val="2032241792"/>
        <c:scaling>
          <c:orientation val="minMax"/>
          <c:max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Steam Saturation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2248992"/>
        <c:crosses val="autoZero"/>
        <c:crossBetween val="midCat"/>
      </c:valAx>
      <c:valAx>
        <c:axId val="203224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Effective Viscosity</a:t>
                </a:r>
              </a:p>
              <a:p>
                <a:pPr>
                  <a:defRPr/>
                </a:pPr>
                <a:r>
                  <a:rPr lang="en-US"/>
                  <a:t>mPa.s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2241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Inplace_Flowing_Enthalpy!$D$19</c:f>
              <c:strCache>
                <c:ptCount val="1"/>
                <c:pt idx="0">
                  <c:v>Krw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Inplace_Flowing_Enthalpy!$C$21:$C$35</c:f>
              <c:numCache>
                <c:formatCode>General</c:formatCode>
                <c:ptCount val="15"/>
                <c:pt idx="0">
                  <c:v>0.2</c:v>
                </c:pt>
                <c:pt idx="1">
                  <c:v>0.25</c:v>
                </c:pt>
                <c:pt idx="2">
                  <c:v>0.3</c:v>
                </c:pt>
                <c:pt idx="3">
                  <c:v>0.35</c:v>
                </c:pt>
                <c:pt idx="4">
                  <c:v>0.4</c:v>
                </c:pt>
                <c:pt idx="5">
                  <c:v>0.45</c:v>
                </c:pt>
                <c:pt idx="6">
                  <c:v>0.5</c:v>
                </c:pt>
                <c:pt idx="7">
                  <c:v>0.55000000000000004</c:v>
                </c:pt>
                <c:pt idx="8">
                  <c:v>0.6</c:v>
                </c:pt>
                <c:pt idx="9">
                  <c:v>0.65</c:v>
                </c:pt>
                <c:pt idx="10">
                  <c:v>0.7</c:v>
                </c:pt>
                <c:pt idx="11">
                  <c:v>0.75</c:v>
                </c:pt>
                <c:pt idx="12">
                  <c:v>0.8</c:v>
                </c:pt>
                <c:pt idx="13">
                  <c:v>0.85</c:v>
                </c:pt>
                <c:pt idx="14">
                  <c:v>0.9</c:v>
                </c:pt>
              </c:numCache>
            </c:numRef>
          </c:xVal>
          <c:yVal>
            <c:numRef>
              <c:f>Inplace_Flowing_Enthalpy!$D$21:$D$35</c:f>
              <c:numCache>
                <c:formatCode>General</c:formatCode>
                <c:ptCount val="15"/>
                <c:pt idx="0">
                  <c:v>0</c:v>
                </c:pt>
                <c:pt idx="1">
                  <c:v>5.0000000000000001E-3</c:v>
                </c:pt>
                <c:pt idx="2">
                  <c:v>0.02</c:v>
                </c:pt>
                <c:pt idx="3">
                  <c:v>4.5999999999999999E-2</c:v>
                </c:pt>
                <c:pt idx="4">
                  <c:v>8.2000000000000003E-2</c:v>
                </c:pt>
                <c:pt idx="5">
                  <c:v>0.127</c:v>
                </c:pt>
                <c:pt idx="6">
                  <c:v>0.184</c:v>
                </c:pt>
                <c:pt idx="7">
                  <c:v>0.25</c:v>
                </c:pt>
                <c:pt idx="8">
                  <c:v>0.32600000000000001</c:v>
                </c:pt>
                <c:pt idx="9">
                  <c:v>0.41299999999999998</c:v>
                </c:pt>
                <c:pt idx="10">
                  <c:v>0.51</c:v>
                </c:pt>
                <c:pt idx="11">
                  <c:v>0.61699999999999999</c:v>
                </c:pt>
                <c:pt idx="12">
                  <c:v>0.73499999999999999</c:v>
                </c:pt>
                <c:pt idx="13">
                  <c:v>0.86299999999999999</c:v>
                </c:pt>
                <c:pt idx="14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F5-4B94-8D9B-ED713ED6524D}"/>
            </c:ext>
          </c:extLst>
        </c:ser>
        <c:ser>
          <c:idx val="1"/>
          <c:order val="1"/>
          <c:tx>
            <c:strRef>
              <c:f>Inplace_Flowing_Enthalpy!$E$19</c:f>
              <c:strCache>
                <c:ptCount val="1"/>
                <c:pt idx="0">
                  <c:v>Krs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Inplace_Flowing_Enthalpy!$C$21:$C$35</c:f>
              <c:numCache>
                <c:formatCode>General</c:formatCode>
                <c:ptCount val="15"/>
                <c:pt idx="0">
                  <c:v>0.2</c:v>
                </c:pt>
                <c:pt idx="1">
                  <c:v>0.25</c:v>
                </c:pt>
                <c:pt idx="2">
                  <c:v>0.3</c:v>
                </c:pt>
                <c:pt idx="3">
                  <c:v>0.35</c:v>
                </c:pt>
                <c:pt idx="4">
                  <c:v>0.4</c:v>
                </c:pt>
                <c:pt idx="5">
                  <c:v>0.45</c:v>
                </c:pt>
                <c:pt idx="6">
                  <c:v>0.5</c:v>
                </c:pt>
                <c:pt idx="7">
                  <c:v>0.55000000000000004</c:v>
                </c:pt>
                <c:pt idx="8">
                  <c:v>0.6</c:v>
                </c:pt>
                <c:pt idx="9">
                  <c:v>0.65</c:v>
                </c:pt>
                <c:pt idx="10">
                  <c:v>0.7</c:v>
                </c:pt>
                <c:pt idx="11">
                  <c:v>0.75</c:v>
                </c:pt>
                <c:pt idx="12">
                  <c:v>0.8</c:v>
                </c:pt>
                <c:pt idx="13">
                  <c:v>0.85</c:v>
                </c:pt>
                <c:pt idx="14">
                  <c:v>0.9</c:v>
                </c:pt>
              </c:numCache>
            </c:numRef>
          </c:xVal>
          <c:yVal>
            <c:numRef>
              <c:f>Inplace_Flowing_Enthalpy!$E$21:$E$35</c:f>
              <c:numCache>
                <c:formatCode>General</c:formatCode>
                <c:ptCount val="15"/>
                <c:pt idx="0">
                  <c:v>1</c:v>
                </c:pt>
                <c:pt idx="1">
                  <c:v>0.86299999999999999</c:v>
                </c:pt>
                <c:pt idx="2">
                  <c:v>0.73399999999999999</c:v>
                </c:pt>
                <c:pt idx="3">
                  <c:v>0.61699999999999999</c:v>
                </c:pt>
                <c:pt idx="4">
                  <c:v>0.51</c:v>
                </c:pt>
                <c:pt idx="5">
                  <c:v>0.41299999999999998</c:v>
                </c:pt>
                <c:pt idx="6">
                  <c:v>0.32600000000000001</c:v>
                </c:pt>
                <c:pt idx="7">
                  <c:v>0.25</c:v>
                </c:pt>
                <c:pt idx="8">
                  <c:v>0.184</c:v>
                </c:pt>
                <c:pt idx="9">
                  <c:v>0.127</c:v>
                </c:pt>
                <c:pt idx="10">
                  <c:v>8.2000000000000003E-2</c:v>
                </c:pt>
                <c:pt idx="11">
                  <c:v>4.5999999999999999E-2</c:v>
                </c:pt>
                <c:pt idx="12">
                  <c:v>0.02</c:v>
                </c:pt>
                <c:pt idx="13">
                  <c:v>5.0000000000000001E-3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F5-4B94-8D9B-ED713ED65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589071"/>
        <c:axId val="478615471"/>
      </c:scatterChart>
      <c:valAx>
        <c:axId val="478589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615471"/>
        <c:crosses val="autoZero"/>
        <c:crossBetween val="midCat"/>
      </c:valAx>
      <c:valAx>
        <c:axId val="47861547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5890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Inplace_Flowing_Enthalpy!$F$19</c:f>
              <c:strCache>
                <c:ptCount val="1"/>
                <c:pt idx="0">
                  <c:v>In place enthalpy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Inplace_Flowing_Enthalpy!$C$21:$C$35</c:f>
              <c:numCache>
                <c:formatCode>General</c:formatCode>
                <c:ptCount val="15"/>
                <c:pt idx="0">
                  <c:v>0.2</c:v>
                </c:pt>
                <c:pt idx="1">
                  <c:v>0.25</c:v>
                </c:pt>
                <c:pt idx="2">
                  <c:v>0.3</c:v>
                </c:pt>
                <c:pt idx="3">
                  <c:v>0.35</c:v>
                </c:pt>
                <c:pt idx="4">
                  <c:v>0.4</c:v>
                </c:pt>
                <c:pt idx="5">
                  <c:v>0.45</c:v>
                </c:pt>
                <c:pt idx="6">
                  <c:v>0.5</c:v>
                </c:pt>
                <c:pt idx="7">
                  <c:v>0.55000000000000004</c:v>
                </c:pt>
                <c:pt idx="8">
                  <c:v>0.6</c:v>
                </c:pt>
                <c:pt idx="9">
                  <c:v>0.65</c:v>
                </c:pt>
                <c:pt idx="10">
                  <c:v>0.7</c:v>
                </c:pt>
                <c:pt idx="11">
                  <c:v>0.75</c:v>
                </c:pt>
                <c:pt idx="12">
                  <c:v>0.8</c:v>
                </c:pt>
                <c:pt idx="13">
                  <c:v>0.85</c:v>
                </c:pt>
                <c:pt idx="14">
                  <c:v>0.9</c:v>
                </c:pt>
              </c:numCache>
            </c:numRef>
          </c:xVal>
          <c:yVal>
            <c:numRef>
              <c:f>Inplace_Flowing_Enthalpy!$F$21:$F$35</c:f>
              <c:numCache>
                <c:formatCode>General</c:formatCode>
                <c:ptCount val="15"/>
                <c:pt idx="0">
                  <c:v>1242.3154466963888</c:v>
                </c:pt>
                <c:pt idx="1">
                  <c:v>1206.1947155802488</c:v>
                </c:pt>
                <c:pt idx="2">
                  <c:v>1181.1664831175669</c:v>
                </c:pt>
                <c:pt idx="3">
                  <c:v>1162.8012157159458</c:v>
                </c:pt>
                <c:pt idx="4">
                  <c:v>1148.7507707680527</c:v>
                </c:pt>
                <c:pt idx="5">
                  <c:v>1137.6543834479924</c:v>
                </c:pt>
                <c:pt idx="6">
                  <c:v>1128.6690521894041</c:v>
                </c:pt>
                <c:pt idx="7">
                  <c:v>1121.24467140407</c:v>
                </c:pt>
                <c:pt idx="8">
                  <c:v>1115.0069914515007</c:v>
                </c:pt>
                <c:pt idx="9">
                  <c:v>1109.6925477372135</c:v>
                </c:pt>
                <c:pt idx="10">
                  <c:v>1105.1104922479051</c:v>
                </c:pt>
                <c:pt idx="11">
                  <c:v>1101.1191879363516</c:v>
                </c:pt>
                <c:pt idx="12">
                  <c:v>1097.6113077234747</c:v>
                </c:pt>
                <c:pt idx="13">
                  <c:v>1094.5040387262413</c:v>
                </c:pt>
                <c:pt idx="14">
                  <c:v>1091.732461323362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C39-4310-B647-9C16E66A6B4D}"/>
            </c:ext>
          </c:extLst>
        </c:ser>
        <c:ser>
          <c:idx val="1"/>
          <c:order val="1"/>
          <c:tx>
            <c:strRef>
              <c:f>Inplace_Flowing_Enthalpy!$G$19</c:f>
              <c:strCache>
                <c:ptCount val="1"/>
                <c:pt idx="0">
                  <c:v>Flowing enthalpy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Inplace_Flowing_Enthalpy!$C$21:$C$35</c:f>
              <c:numCache>
                <c:formatCode>General</c:formatCode>
                <c:ptCount val="15"/>
                <c:pt idx="0">
                  <c:v>0.2</c:v>
                </c:pt>
                <c:pt idx="1">
                  <c:v>0.25</c:v>
                </c:pt>
                <c:pt idx="2">
                  <c:v>0.3</c:v>
                </c:pt>
                <c:pt idx="3">
                  <c:v>0.35</c:v>
                </c:pt>
                <c:pt idx="4">
                  <c:v>0.4</c:v>
                </c:pt>
                <c:pt idx="5">
                  <c:v>0.45</c:v>
                </c:pt>
                <c:pt idx="6">
                  <c:v>0.5</c:v>
                </c:pt>
                <c:pt idx="7">
                  <c:v>0.55000000000000004</c:v>
                </c:pt>
                <c:pt idx="8">
                  <c:v>0.6</c:v>
                </c:pt>
                <c:pt idx="9">
                  <c:v>0.65</c:v>
                </c:pt>
                <c:pt idx="10">
                  <c:v>0.7</c:v>
                </c:pt>
                <c:pt idx="11">
                  <c:v>0.75</c:v>
                </c:pt>
                <c:pt idx="12">
                  <c:v>0.8</c:v>
                </c:pt>
                <c:pt idx="13">
                  <c:v>0.85</c:v>
                </c:pt>
                <c:pt idx="14">
                  <c:v>0.9</c:v>
                </c:pt>
              </c:numCache>
            </c:numRef>
          </c:xVal>
          <c:yVal>
            <c:numRef>
              <c:f>Inplace_Flowing_Enthalpy!$G$21:$G$35</c:f>
              <c:numCache>
                <c:formatCode>General</c:formatCode>
                <c:ptCount val="15"/>
                <c:pt idx="0">
                  <c:v>2796.0000000000005</c:v>
                </c:pt>
                <c:pt idx="1">
                  <c:v>2733.0841426640654</c:v>
                </c:pt>
                <c:pt idx="2">
                  <c:v>2535.6049217628238</c:v>
                </c:pt>
                <c:pt idx="3">
                  <c:v>2232.5672073769451</c:v>
                </c:pt>
                <c:pt idx="4">
                  <c:v>1916.3298525659948</c:v>
                </c:pt>
                <c:pt idx="5">
                  <c:v>1651.2817967772676</c:v>
                </c:pt>
                <c:pt idx="6">
                  <c:v>1448.8094629962488</c:v>
                </c:pt>
                <c:pt idx="7">
                  <c:v>1311.9561426557534</c:v>
                </c:pt>
                <c:pt idx="8">
                  <c:v>1221.6917841540437</c:v>
                </c:pt>
                <c:pt idx="9">
                  <c:v>1163.1133485673377</c:v>
                </c:pt>
                <c:pt idx="10">
                  <c:v>1127.6610954254197</c:v>
                </c:pt>
                <c:pt idx="11">
                  <c:v>1106.0978877889675</c:v>
                </c:pt>
                <c:pt idx="12">
                  <c:v>1094.0201789719088</c:v>
                </c:pt>
                <c:pt idx="13">
                  <c:v>1088.4995852061566</c:v>
                </c:pt>
                <c:pt idx="14">
                  <c:v>1087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C39-4310-B647-9C16E66A6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363743"/>
        <c:axId val="435367103"/>
      </c:scatterChart>
      <c:valAx>
        <c:axId val="4353637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367103"/>
        <c:crosses val="autoZero"/>
        <c:crossBetween val="midCat"/>
      </c:valAx>
      <c:valAx>
        <c:axId val="435367103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Enthalpy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3637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Tracers!$B$1</c:f>
              <c:strCache>
                <c:ptCount val="1"/>
                <c:pt idx="0">
                  <c:v>Dye Concentration (µg/L) Ci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Tracers!$A$2:$A$18</c:f>
              <c:numCache>
                <c:formatCode>General</c:formatCode>
                <c:ptCount val="17"/>
                <c:pt idx="0">
                  <c:v>0</c:v>
                </c:pt>
                <c:pt idx="1">
                  <c:v>4.8</c:v>
                </c:pt>
                <c:pt idx="2">
                  <c:v>5</c:v>
                </c:pt>
                <c:pt idx="3">
                  <c:v>5.2</c:v>
                </c:pt>
                <c:pt idx="4">
                  <c:v>5.5</c:v>
                </c:pt>
                <c:pt idx="5">
                  <c:v>5.8</c:v>
                </c:pt>
                <c:pt idx="6">
                  <c:v>5.9</c:v>
                </c:pt>
                <c:pt idx="7">
                  <c:v>6.3</c:v>
                </c:pt>
                <c:pt idx="8">
                  <c:v>6.5</c:v>
                </c:pt>
                <c:pt idx="9">
                  <c:v>6.8</c:v>
                </c:pt>
                <c:pt idx="10">
                  <c:v>7</c:v>
                </c:pt>
                <c:pt idx="11">
                  <c:v>7.3</c:v>
                </c:pt>
                <c:pt idx="12">
                  <c:v>7.8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</c:numCache>
            </c:numRef>
          </c:xVal>
          <c:yVal>
            <c:numRef>
              <c:f>Tracers!$B$2:$B$18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0.3</c:v>
                </c:pt>
                <c:pt idx="3">
                  <c:v>1.1000000000000001</c:v>
                </c:pt>
                <c:pt idx="4">
                  <c:v>2.5</c:v>
                </c:pt>
                <c:pt idx="5">
                  <c:v>4.2</c:v>
                </c:pt>
                <c:pt idx="6">
                  <c:v>4.9000000000000004</c:v>
                </c:pt>
                <c:pt idx="7">
                  <c:v>4.7</c:v>
                </c:pt>
                <c:pt idx="8">
                  <c:v>3.5</c:v>
                </c:pt>
                <c:pt idx="9">
                  <c:v>1.8</c:v>
                </c:pt>
                <c:pt idx="10">
                  <c:v>1</c:v>
                </c:pt>
                <c:pt idx="11">
                  <c:v>0.5</c:v>
                </c:pt>
                <c:pt idx="12">
                  <c:v>0.25</c:v>
                </c:pt>
                <c:pt idx="13">
                  <c:v>0.1</c:v>
                </c:pt>
                <c:pt idx="14">
                  <c:v>0.03</c:v>
                </c:pt>
                <c:pt idx="15">
                  <c:v>5.0000000000000001E-3</c:v>
                </c:pt>
                <c:pt idx="16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014-4592-ACEE-D6D5958AF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8718335"/>
        <c:axId val="888718815"/>
      </c:scatterChart>
      <c:valAx>
        <c:axId val="888718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from Injection (hrs)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8718815"/>
        <c:crosses val="autoZero"/>
        <c:crossBetween val="midCat"/>
      </c:valAx>
      <c:valAx>
        <c:axId val="888718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Dye Concentration (</a:t>
                </a:r>
                <a:r>
                  <a:rPr lang="en-US" sz="8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µg/L</a:t>
                </a:r>
                <a:r>
                  <a:rPr lang="en-US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87183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image" Target="../media/image3.png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259080</xdr:colOff>
      <xdr:row>0</xdr:row>
      <xdr:rowOff>60960</xdr:rowOff>
    </xdr:from>
    <xdr:to>
      <xdr:col>21</xdr:col>
      <xdr:colOff>488175</xdr:colOff>
      <xdr:row>2</xdr:row>
      <xdr:rowOff>76250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4F0A45-07F5-E935-B815-3EEFDA2E1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5820" y="60960"/>
          <a:ext cx="5715495" cy="571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586740</xdr:colOff>
      <xdr:row>0</xdr:row>
      <xdr:rowOff>0</xdr:rowOff>
    </xdr:from>
    <xdr:to>
      <xdr:col>19</xdr:col>
      <xdr:colOff>445770</xdr:colOff>
      <xdr:row>4</xdr:row>
      <xdr:rowOff>30002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B15504-8EF0-F225-1001-9B58DC898F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083"/>
        <a:stretch/>
      </xdr:blipFill>
      <xdr:spPr>
        <a:xfrm>
          <a:off x="8511540" y="0"/>
          <a:ext cx="3516630" cy="1127282"/>
        </a:xfrm>
        <a:prstGeom prst="rect">
          <a:avLst/>
        </a:prstGeom>
      </xdr:spPr>
    </xdr:pic>
    <xdr:clientData/>
  </xdr:twoCellAnchor>
  <xdr:twoCellAnchor>
    <xdr:from>
      <xdr:col>3</xdr:col>
      <xdr:colOff>60960</xdr:colOff>
      <xdr:row>3</xdr:row>
      <xdr:rowOff>53340</xdr:rowOff>
    </xdr:from>
    <xdr:to>
      <xdr:col>10</xdr:col>
      <xdr:colOff>365760</xdr:colOff>
      <xdr:row>18</xdr:row>
      <xdr:rowOff>53340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C0805B8-3D71-55FD-6633-4A78F332DC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220980</xdr:colOff>
      <xdr:row>0</xdr:row>
      <xdr:rowOff>15240</xdr:rowOff>
    </xdr:from>
    <xdr:to>
      <xdr:col>16</xdr:col>
      <xdr:colOff>225447</xdr:colOff>
      <xdr:row>16</xdr:row>
      <xdr:rowOff>44642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0FD455-7EE5-96AC-EB95-B3F812851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7380" y="15240"/>
          <a:ext cx="3662067" cy="3016442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38</xdr:row>
      <xdr:rowOff>68580</xdr:rowOff>
    </xdr:from>
    <xdr:to>
      <xdr:col>6</xdr:col>
      <xdr:colOff>845820</xdr:colOff>
      <xdr:row>53</xdr:row>
      <xdr:rowOff>68580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E1B4BC2-A6A2-9F55-BBFB-8B81BBA0A6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350520</xdr:colOff>
      <xdr:row>3</xdr:row>
      <xdr:rowOff>45720</xdr:rowOff>
    </xdr:from>
    <xdr:to>
      <xdr:col>9</xdr:col>
      <xdr:colOff>251642</xdr:colOff>
      <xdr:row>7</xdr:row>
      <xdr:rowOff>45787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D0B5E43-3FD5-AC61-393B-78C1C3E98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50280" y="594360"/>
          <a:ext cx="2103302" cy="777307"/>
        </a:xfrm>
        <a:prstGeom prst="rect">
          <a:avLst/>
        </a:prstGeom>
      </xdr:spPr>
    </xdr:pic>
    <xdr:clientData/>
  </xdr:twoCellAnchor>
  <xdr:twoCellAnchor>
    <xdr:from>
      <xdr:col>8</xdr:col>
      <xdr:colOff>190500</xdr:colOff>
      <xdr:row>19</xdr:row>
      <xdr:rowOff>38100</xdr:rowOff>
    </xdr:from>
    <xdr:to>
      <xdr:col>15</xdr:col>
      <xdr:colOff>495300</xdr:colOff>
      <xdr:row>34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F591272-DE35-E336-DFB1-B33B04FA39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</xdr:colOff>
      <xdr:row>1</xdr:row>
      <xdr:rowOff>30480</xdr:rowOff>
    </xdr:from>
    <xdr:to>
      <xdr:col>14</xdr:col>
      <xdr:colOff>320040</xdr:colOff>
      <xdr:row>16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1A8B96-0FD4-F1FA-14A8-6DA89C68BE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0</xdr:colOff>
      <xdr:row>0</xdr:row>
      <xdr:rowOff>0</xdr:rowOff>
    </xdr:from>
    <xdr:to>
      <xdr:col>9</xdr:col>
      <xdr:colOff>464966</xdr:colOff>
      <xdr:row>0</xdr:row>
      <xdr:rowOff>693480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DD15C6A-F727-2ACB-C1E3-5015A0027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56760" y="0"/>
          <a:ext cx="1684166" cy="693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856D5-7A8D-440C-A9DB-DFF5301BEFFA}">
  <dimension ref="A1:L20"/>
  <sheetViews>
    <sheetView tabSelected="1" workbookViewId="0">
      <selection activeCell="B5" sqref="B5"/>
    </sheetView>
  </sheetViews>
  <sheetFormatPr defaultRowHeight="14.4" x14ac:dyDescent="0.3"/>
  <cols>
    <col min="1" max="1" width="23.109375" bestFit="1" customWidth="1"/>
  </cols>
  <sheetData>
    <row r="1" spans="1:12" ht="29.4" thickBot="1" x14ac:dyDescent="0.35">
      <c r="K1" s="4" t="s">
        <v>20</v>
      </c>
      <c r="L1" s="5" t="s">
        <v>28</v>
      </c>
    </row>
    <row r="2" spans="1:12" x14ac:dyDescent="0.3">
      <c r="A2" t="s">
        <v>4</v>
      </c>
      <c r="B2">
        <v>250</v>
      </c>
      <c r="C2" t="s">
        <v>15</v>
      </c>
      <c r="K2" s="6">
        <v>249</v>
      </c>
      <c r="L2" s="6">
        <v>3.8929999999999998</v>
      </c>
    </row>
    <row r="3" spans="1:12" x14ac:dyDescent="0.3">
      <c r="A3" s="9" t="s">
        <v>5</v>
      </c>
      <c r="B3" s="9">
        <v>0.5</v>
      </c>
      <c r="C3" s="9"/>
      <c r="K3" s="6">
        <v>250</v>
      </c>
      <c r="L3" s="6">
        <v>3.976</v>
      </c>
    </row>
    <row r="4" spans="1:12" x14ac:dyDescent="0.3">
      <c r="A4" s="9" t="s">
        <v>6</v>
      </c>
      <c r="B4" s="9">
        <v>0.1</v>
      </c>
      <c r="C4" s="9"/>
      <c r="K4" s="6">
        <v>251</v>
      </c>
      <c r="L4" s="6">
        <v>4.0599999999999996</v>
      </c>
    </row>
    <row r="5" spans="1:12" x14ac:dyDescent="0.3">
      <c r="A5" t="s">
        <v>7</v>
      </c>
      <c r="B5">
        <v>2000</v>
      </c>
      <c r="C5" t="s">
        <v>16</v>
      </c>
    </row>
    <row r="6" spans="1:12" x14ac:dyDescent="0.3">
      <c r="A6" t="s">
        <v>8</v>
      </c>
      <c r="B6">
        <v>1</v>
      </c>
      <c r="C6" t="s">
        <v>17</v>
      </c>
    </row>
    <row r="7" spans="1:12" x14ac:dyDescent="0.3">
      <c r="A7" t="s">
        <v>10</v>
      </c>
      <c r="B7">
        <v>4.8600000000000003</v>
      </c>
      <c r="C7" t="s">
        <v>17</v>
      </c>
    </row>
    <row r="8" spans="1:12" x14ac:dyDescent="0.3">
      <c r="A8" t="s">
        <v>9</v>
      </c>
      <c r="B8">
        <v>950</v>
      </c>
      <c r="C8" t="s">
        <v>16</v>
      </c>
    </row>
    <row r="9" spans="1:12" x14ac:dyDescent="0.3">
      <c r="A9" t="s">
        <v>11</v>
      </c>
      <c r="B9">
        <v>1.5</v>
      </c>
      <c r="C9" t="s">
        <v>16</v>
      </c>
    </row>
    <row r="10" spans="1:12" x14ac:dyDescent="0.3">
      <c r="A10" t="s">
        <v>12</v>
      </c>
      <c r="B10">
        <v>1967</v>
      </c>
      <c r="C10" t="s">
        <v>22</v>
      </c>
    </row>
    <row r="11" spans="1:12" x14ac:dyDescent="0.3">
      <c r="A11" t="s">
        <v>13</v>
      </c>
      <c r="B11">
        <v>0.16700000000000001</v>
      </c>
      <c r="C11" t="s">
        <v>21</v>
      </c>
    </row>
    <row r="12" spans="1:12" x14ac:dyDescent="0.3">
      <c r="A12" t="s">
        <v>14</v>
      </c>
      <c r="B12">
        <v>2</v>
      </c>
      <c r="C12" t="s">
        <v>15</v>
      </c>
    </row>
    <row r="13" spans="1:12" x14ac:dyDescent="0.3">
      <c r="A13" t="s">
        <v>25</v>
      </c>
      <c r="B13">
        <f>(B11/B12)*1000</f>
        <v>83.5</v>
      </c>
      <c r="C13" t="s">
        <v>26</v>
      </c>
    </row>
    <row r="14" spans="1:12" x14ac:dyDescent="0.3">
      <c r="A14" t="s">
        <v>18</v>
      </c>
      <c r="B14" s="3">
        <v>1.3E-6</v>
      </c>
      <c r="C14" t="s">
        <v>27</v>
      </c>
    </row>
    <row r="15" spans="1:12" x14ac:dyDescent="0.3">
      <c r="A15" t="s">
        <v>19</v>
      </c>
      <c r="B15" s="3">
        <v>2.9999999999999997E-4</v>
      </c>
      <c r="C15" t="s">
        <v>27</v>
      </c>
    </row>
    <row r="17" spans="1:3" x14ac:dyDescent="0.3">
      <c r="A17" t="s">
        <v>23</v>
      </c>
      <c r="B17" s="3">
        <f>((1-$B$4)*B5*B6)+(B4*B3*B8*B7)</f>
        <v>2030.85</v>
      </c>
    </row>
    <row r="18" spans="1:3" x14ac:dyDescent="0.3">
      <c r="A18" t="s">
        <v>24</v>
      </c>
      <c r="B18">
        <f>B4*B9*B10*B13</f>
        <v>24636.675000000007</v>
      </c>
    </row>
    <row r="20" spans="1:3" x14ac:dyDescent="0.3">
      <c r="A20" s="7" t="s">
        <v>29</v>
      </c>
      <c r="B20" s="8">
        <f>B17/B18</f>
        <v>8.2431984023818128E-2</v>
      </c>
      <c r="C20" s="7" t="s">
        <v>27</v>
      </c>
    </row>
  </sheetData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AEA8D-47B7-4AC7-9F2F-6989A3404644}">
  <dimension ref="A1:N24"/>
  <sheetViews>
    <sheetView topLeftCell="A3" workbookViewId="0">
      <selection activeCell="F20" sqref="F20"/>
    </sheetView>
  </sheetViews>
  <sheetFormatPr defaultRowHeight="14.4" x14ac:dyDescent="0.3"/>
  <cols>
    <col min="2" max="2" width="10.109375" bestFit="1" customWidth="1"/>
    <col min="8" max="8" width="12.33203125" bestFit="1" customWidth="1"/>
  </cols>
  <sheetData>
    <row r="1" spans="1:14" ht="28.8" x14ac:dyDescent="0.35">
      <c r="A1" s="1" t="s">
        <v>2</v>
      </c>
      <c r="B1" s="16">
        <f>0.000017494607546601*1000</f>
        <v>1.7494607546600999E-2</v>
      </c>
      <c r="C1" t="s">
        <v>30</v>
      </c>
      <c r="D1" s="1" t="s">
        <v>3</v>
      </c>
      <c r="E1" s="10">
        <f>0.00010611175918771*1000</f>
        <v>0.10611175918771</v>
      </c>
      <c r="F1" t="s">
        <v>30</v>
      </c>
      <c r="H1" t="s">
        <v>45</v>
      </c>
      <c r="I1" t="s">
        <v>46</v>
      </c>
    </row>
    <row r="2" spans="1:14" x14ac:dyDescent="0.3">
      <c r="A2" s="1"/>
      <c r="B2" s="1"/>
    </row>
    <row r="3" spans="1:14" ht="28.8" x14ac:dyDescent="0.3">
      <c r="A3" s="2" t="s">
        <v>0</v>
      </c>
      <c r="B3" s="2" t="s">
        <v>1</v>
      </c>
    </row>
    <row r="4" spans="1:14" x14ac:dyDescent="0.3">
      <c r="A4" s="2">
        <v>0</v>
      </c>
      <c r="B4" s="2">
        <f>($B$1*$E$1)/((1-A4)*$B$1+A4*$E$1)</f>
        <v>0.10611175918771</v>
      </c>
    </row>
    <row r="5" spans="1:14" x14ac:dyDescent="0.3">
      <c r="A5" s="2">
        <v>0.05</v>
      </c>
      <c r="B5" s="2">
        <f t="shared" ref="B5:B24" si="0">($B$1*$E$1)/((1-A5)*$B$1+A5*$E$1)</f>
        <v>8.4667922535524104E-2</v>
      </c>
    </row>
    <row r="6" spans="1:14" x14ac:dyDescent="0.3">
      <c r="A6" s="2">
        <v>0.1</v>
      </c>
      <c r="B6" s="2">
        <f t="shared" si="0"/>
        <v>7.0434089134670377E-2</v>
      </c>
    </row>
    <row r="7" spans="1:14" ht="18" x14ac:dyDescent="0.35">
      <c r="A7" s="2">
        <v>0.15</v>
      </c>
      <c r="B7" s="2">
        <f t="shared" si="0"/>
        <v>6.0297291451030632E-2</v>
      </c>
      <c r="N7" s="10"/>
    </row>
    <row r="8" spans="1:14" x14ac:dyDescent="0.3">
      <c r="A8" s="2">
        <v>0.2</v>
      </c>
      <c r="B8" s="2">
        <f t="shared" si="0"/>
        <v>5.2711158687109551E-2</v>
      </c>
    </row>
    <row r="9" spans="1:14" x14ac:dyDescent="0.3">
      <c r="A9" s="2">
        <v>0.25</v>
      </c>
      <c r="B9" s="2">
        <f t="shared" si="0"/>
        <v>4.6820562380795808E-2</v>
      </c>
    </row>
    <row r="10" spans="1:14" x14ac:dyDescent="0.3">
      <c r="A10" s="2">
        <v>0.3</v>
      </c>
      <c r="B10" s="2">
        <f t="shared" si="0"/>
        <v>4.2114201080681146E-2</v>
      </c>
    </row>
    <row r="11" spans="1:14" x14ac:dyDescent="0.3">
      <c r="A11" s="2">
        <v>0.35</v>
      </c>
      <c r="B11" s="2">
        <f t="shared" si="0"/>
        <v>3.8267578150525595E-2</v>
      </c>
    </row>
    <row r="12" spans="1:14" x14ac:dyDescent="0.3">
      <c r="A12" s="2">
        <v>0.4</v>
      </c>
      <c r="B12" s="2">
        <f t="shared" si="0"/>
        <v>3.5064830010922532E-2</v>
      </c>
    </row>
    <row r="13" spans="1:14" x14ac:dyDescent="0.3">
      <c r="A13" s="2">
        <v>0.45</v>
      </c>
      <c r="B13" s="2">
        <f t="shared" si="0"/>
        <v>3.235677755198367E-2</v>
      </c>
    </row>
    <row r="14" spans="1:14" x14ac:dyDescent="0.3">
      <c r="A14" s="2">
        <v>0.5</v>
      </c>
      <c r="B14" s="2">
        <f t="shared" si="0"/>
        <v>3.0037022074415838E-2</v>
      </c>
    </row>
    <row r="15" spans="1:14" x14ac:dyDescent="0.3">
      <c r="A15" s="2">
        <v>0.55000000000000004</v>
      </c>
      <c r="B15" s="2">
        <f t="shared" si="0"/>
        <v>2.8027635887291194E-2</v>
      </c>
    </row>
    <row r="16" spans="1:14" x14ac:dyDescent="0.3">
      <c r="A16" s="2">
        <v>0.6</v>
      </c>
      <c r="B16" s="2">
        <f t="shared" si="0"/>
        <v>2.6270236307592572E-2</v>
      </c>
    </row>
    <row r="17" spans="1:2" x14ac:dyDescent="0.3">
      <c r="A17" s="2">
        <v>0.65</v>
      </c>
      <c r="B17" s="2">
        <f t="shared" si="0"/>
        <v>2.4720219612238518E-2</v>
      </c>
    </row>
    <row r="18" spans="1:2" x14ac:dyDescent="0.3">
      <c r="A18" s="2">
        <v>0.7</v>
      </c>
      <c r="B18" s="2">
        <f t="shared" si="0"/>
        <v>2.3342922536337372E-2</v>
      </c>
    </row>
    <row r="19" spans="1:2" x14ac:dyDescent="0.3">
      <c r="A19" s="2">
        <v>0.75</v>
      </c>
      <c r="B19" s="2">
        <f t="shared" si="0"/>
        <v>2.2110999233577486E-2</v>
      </c>
    </row>
    <row r="20" spans="1:2" x14ac:dyDescent="0.3">
      <c r="A20">
        <v>0.8</v>
      </c>
      <c r="B20" s="2">
        <f t="shared" si="0"/>
        <v>2.1002587185685234E-2</v>
      </c>
    </row>
    <row r="21" spans="1:2" x14ac:dyDescent="0.3">
      <c r="A21">
        <v>0.85</v>
      </c>
      <c r="B21" s="2">
        <f t="shared" si="0"/>
        <v>1.9999998429608586E-2</v>
      </c>
    </row>
    <row r="22" spans="1:2" x14ac:dyDescent="0.3">
      <c r="A22">
        <v>0.9</v>
      </c>
      <c r="B22" s="2">
        <f t="shared" si="0"/>
        <v>1.9088768562592544E-2</v>
      </c>
    </row>
    <row r="23" spans="1:2" x14ac:dyDescent="0.3">
      <c r="A23">
        <v>0.95</v>
      </c>
      <c r="B23" s="2">
        <f t="shared" si="0"/>
        <v>1.8256954391179244E-2</v>
      </c>
    </row>
    <row r="24" spans="1:2" x14ac:dyDescent="0.3">
      <c r="A24">
        <v>1</v>
      </c>
      <c r="B24" s="2">
        <f t="shared" si="0"/>
        <v>1.7494607546600999E-2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F3317-CBCA-4CCB-A20D-704D4F25B3B8}">
  <dimension ref="A2:H36"/>
  <sheetViews>
    <sheetView topLeftCell="A12" workbookViewId="0">
      <selection activeCell="I37" sqref="I37"/>
    </sheetView>
  </sheetViews>
  <sheetFormatPr defaultRowHeight="14.4" x14ac:dyDescent="0.3"/>
  <cols>
    <col min="1" max="1" width="21" bestFit="1" customWidth="1"/>
    <col min="2" max="2" width="21" customWidth="1"/>
    <col min="6" max="6" width="14.44140625" bestFit="1" customWidth="1"/>
    <col min="7" max="7" width="14.33203125" bestFit="1" customWidth="1"/>
  </cols>
  <sheetData>
    <row r="2" spans="2:3" x14ac:dyDescent="0.3">
      <c r="B2" t="s">
        <v>4</v>
      </c>
      <c r="C2" s="9">
        <v>250</v>
      </c>
    </row>
    <row r="3" spans="2:3" x14ac:dyDescent="0.3">
      <c r="B3" t="s">
        <v>34</v>
      </c>
      <c r="C3">
        <v>1087</v>
      </c>
    </row>
    <row r="4" spans="2:3" x14ac:dyDescent="0.3">
      <c r="B4" t="s">
        <v>35</v>
      </c>
      <c r="C4">
        <v>2796</v>
      </c>
    </row>
    <row r="5" spans="2:3" ht="15.6" x14ac:dyDescent="0.3">
      <c r="B5" t="s">
        <v>36</v>
      </c>
      <c r="C5" s="12">
        <f>Viscosity!E1</f>
        <v>0.10611175918771</v>
      </c>
    </row>
    <row r="6" spans="2:3" ht="15.6" x14ac:dyDescent="0.3">
      <c r="B6" t="s">
        <v>37</v>
      </c>
      <c r="C6" s="12">
        <f>Viscosity!B1</f>
        <v>1.7494607546600999E-2</v>
      </c>
    </row>
    <row r="7" spans="2:3" ht="15.6" x14ac:dyDescent="0.3">
      <c r="B7" s="7" t="s">
        <v>38</v>
      </c>
      <c r="C7" s="15">
        <f>1/798.88991929816</f>
        <v>1.2517369112361801E-3</v>
      </c>
    </row>
    <row r="8" spans="2:3" ht="15.6" x14ac:dyDescent="0.3">
      <c r="B8" s="7" t="s">
        <v>39</v>
      </c>
      <c r="C8" s="15">
        <f>1/19.965433847753</f>
        <v>5.0086564991551355E-2</v>
      </c>
    </row>
    <row r="19" spans="1:8" x14ac:dyDescent="0.3">
      <c r="A19" s="11" t="s">
        <v>42</v>
      </c>
      <c r="B19" s="11" t="s">
        <v>42</v>
      </c>
      <c r="C19" s="11" t="s">
        <v>5</v>
      </c>
      <c r="D19" s="11" t="s">
        <v>40</v>
      </c>
      <c r="E19" s="11" t="s">
        <v>41</v>
      </c>
      <c r="F19" s="11" t="s">
        <v>43</v>
      </c>
      <c r="G19" s="11" t="s">
        <v>44</v>
      </c>
      <c r="H19" s="11" t="s">
        <v>47</v>
      </c>
    </row>
    <row r="20" spans="1:8" x14ac:dyDescent="0.3">
      <c r="A20" s="11">
        <f>((1-C20)*$C$7)/(((1-C20)*$C$7)+C20*$C$8)</f>
        <v>1</v>
      </c>
      <c r="B20" s="11">
        <f>(C20*$C$7-$C$7)/(C20*$C$7-$C$7-C20*$C$8)</f>
        <v>1</v>
      </c>
      <c r="C20">
        <v>0</v>
      </c>
      <c r="D20">
        <v>0</v>
      </c>
      <c r="E20">
        <v>1</v>
      </c>
      <c r="F20" s="11">
        <f>A20*$C$4+(1-A20)*$C$3</f>
        <v>2796</v>
      </c>
      <c r="G20" s="11">
        <f>(((D20*$C$3)/($C$7*$C$5))+((E20*$C$4)/($C$8*$C$6)))/(((D20)/($C$7*$C$5))+((E20)/($C$8*$C$6)))</f>
        <v>2796.0000000000005</v>
      </c>
    </row>
    <row r="21" spans="1:8" x14ac:dyDescent="0.3">
      <c r="A21" s="11">
        <f>((1-C21)*$C$7)/(((1-C21)*$C$7)+C21*$C$8)</f>
        <v>9.0880893327319343E-2</v>
      </c>
      <c r="B21" s="11">
        <f>(C21*$C$7-$C$7)/(C21*$C$7-$C$7-C21*$C$8)</f>
        <v>9.0880893327319343E-2</v>
      </c>
      <c r="C21" s="11">
        <v>0.2</v>
      </c>
      <c r="D21" s="11">
        <v>0</v>
      </c>
      <c r="E21" s="11">
        <v>1</v>
      </c>
      <c r="F21" s="11">
        <f>A21*$C$4+(1-A21)*$C$3</f>
        <v>1242.3154466963888</v>
      </c>
      <c r="G21" s="11">
        <f>(((D21*$C$3)/($C$7*$C$5))+((E21*$C$4)/($C$8*$C$6)))/(((D21)/($C$7*$C$5))+((E21)/($C$8*$C$6)))</f>
        <v>2796.0000000000005</v>
      </c>
    </row>
    <row r="22" spans="1:8" x14ac:dyDescent="0.3">
      <c r="A22" s="11">
        <f t="shared" ref="A22:A36" si="0">((1-C22)*$C$7)/(((1-C22)*$C$7)+C22*$C$8)</f>
        <v>6.9745298759654045E-2</v>
      </c>
      <c r="B22" s="11">
        <f t="shared" ref="B22:B36" si="1">(C22*$C$7-$C$7)/(C22*$C$7-$C$7-C22*$C$8)</f>
        <v>6.9745298759654045E-2</v>
      </c>
      <c r="C22" s="11">
        <v>0.25</v>
      </c>
      <c r="D22" s="11">
        <v>5.0000000000000001E-3</v>
      </c>
      <c r="E22" s="11">
        <v>0.86299999999999999</v>
      </c>
      <c r="F22" s="11">
        <f t="shared" ref="F22:F36" si="2">A22*$C$4+(1-A22)*$C$3</f>
        <v>1206.1947155802488</v>
      </c>
      <c r="G22" s="11">
        <f>(((D22*$C$3)/($C$7*$C$5))+((E22*$C$4)/($C$8*$C$6)))/(((D22)/($C$7*$C$5))+((E22)/($C$8*$C$6)))</f>
        <v>2733.0841426640654</v>
      </c>
    </row>
    <row r="23" spans="1:8" x14ac:dyDescent="0.3">
      <c r="A23" s="11">
        <f t="shared" si="0"/>
        <v>5.5100341203959603E-2</v>
      </c>
      <c r="B23" s="11">
        <f t="shared" si="1"/>
        <v>5.5100341203959603E-2</v>
      </c>
      <c r="C23" s="11">
        <v>0.3</v>
      </c>
      <c r="D23" s="11">
        <v>0.02</v>
      </c>
      <c r="E23" s="11">
        <v>0.73399999999999999</v>
      </c>
      <c r="F23" s="11">
        <f t="shared" si="2"/>
        <v>1181.1664831175669</v>
      </c>
      <c r="G23" s="11">
        <f t="shared" ref="G23:G36" si="3">(((D23*$C$3)/($C$7*$C$5))+((E23*$C$4)/($C$8*$C$6)))/(((D23)/($C$7*$C$5))+((E23)/($C$8*$C$6)))</f>
        <v>2535.6049217628238</v>
      </c>
    </row>
    <row r="24" spans="1:8" x14ac:dyDescent="0.3">
      <c r="A24" s="11">
        <f t="shared" si="0"/>
        <v>4.4354134415415948E-2</v>
      </c>
      <c r="B24" s="11">
        <f t="shared" si="1"/>
        <v>4.4354134415415948E-2</v>
      </c>
      <c r="C24" s="11">
        <v>0.35</v>
      </c>
      <c r="D24" s="11">
        <v>4.5999999999999999E-2</v>
      </c>
      <c r="E24" s="11">
        <v>0.61699999999999999</v>
      </c>
      <c r="F24" s="11">
        <f t="shared" si="2"/>
        <v>1162.8012157159458</v>
      </c>
      <c r="G24" s="11">
        <f t="shared" si="3"/>
        <v>2232.5672073769451</v>
      </c>
    </row>
    <row r="25" spans="1:8" x14ac:dyDescent="0.3">
      <c r="A25" s="11">
        <f t="shared" si="0"/>
        <v>3.6132692081950114E-2</v>
      </c>
      <c r="B25" s="11">
        <f t="shared" si="1"/>
        <v>3.6132692081950114E-2</v>
      </c>
      <c r="C25" s="11">
        <v>0.4</v>
      </c>
      <c r="D25" s="11">
        <v>8.2000000000000003E-2</v>
      </c>
      <c r="E25" s="11">
        <v>0.51</v>
      </c>
      <c r="F25" s="11">
        <f t="shared" si="2"/>
        <v>1148.7507707680527</v>
      </c>
      <c r="G25" s="11">
        <f t="shared" si="3"/>
        <v>1916.3298525659948</v>
      </c>
    </row>
    <row r="26" spans="1:8" x14ac:dyDescent="0.3">
      <c r="A26" s="11">
        <f t="shared" si="0"/>
        <v>2.9639779665296958E-2</v>
      </c>
      <c r="B26" s="11">
        <f t="shared" si="1"/>
        <v>2.9639779665296951E-2</v>
      </c>
      <c r="C26" s="11">
        <v>0.45</v>
      </c>
      <c r="D26" s="11">
        <v>0.127</v>
      </c>
      <c r="E26" s="11">
        <v>0.41299999999999998</v>
      </c>
      <c r="F26" s="11">
        <f t="shared" si="2"/>
        <v>1137.6543834479924</v>
      </c>
      <c r="G26" s="11">
        <f t="shared" si="3"/>
        <v>1651.2817967772676</v>
      </c>
    </row>
    <row r="27" spans="1:8" x14ac:dyDescent="0.3">
      <c r="A27" s="11">
        <f t="shared" si="0"/>
        <v>2.438212533025394E-2</v>
      </c>
      <c r="B27" s="11">
        <f t="shared" si="1"/>
        <v>2.438212533025394E-2</v>
      </c>
      <c r="C27" s="11">
        <v>0.5</v>
      </c>
      <c r="D27" s="11">
        <v>0.184</v>
      </c>
      <c r="E27" s="11">
        <v>0.32600000000000001</v>
      </c>
      <c r="F27" s="11">
        <f t="shared" si="2"/>
        <v>1128.6690521894041</v>
      </c>
      <c r="G27" s="11">
        <f t="shared" si="3"/>
        <v>1448.8094629962488</v>
      </c>
    </row>
    <row r="28" spans="1:8" x14ac:dyDescent="0.3">
      <c r="A28" s="11">
        <f t="shared" si="0"/>
        <v>2.0037841664172062E-2</v>
      </c>
      <c r="B28" s="11">
        <f t="shared" si="1"/>
        <v>2.0037841664172062E-2</v>
      </c>
      <c r="C28" s="11">
        <v>0.55000000000000004</v>
      </c>
      <c r="D28" s="11">
        <v>0.25</v>
      </c>
      <c r="E28" s="11">
        <v>0.25</v>
      </c>
      <c r="F28" s="11">
        <f t="shared" si="2"/>
        <v>1121.24467140407</v>
      </c>
      <c r="G28" s="11">
        <f t="shared" si="3"/>
        <v>1311.9561426557534</v>
      </c>
    </row>
    <row r="29" spans="1:8" x14ac:dyDescent="0.3">
      <c r="A29" s="11">
        <f t="shared" si="0"/>
        <v>1.6387941165301703E-2</v>
      </c>
      <c r="B29" s="11">
        <f t="shared" si="1"/>
        <v>1.6387941165301703E-2</v>
      </c>
      <c r="C29" s="11">
        <v>0.6</v>
      </c>
      <c r="D29" s="11">
        <v>0.32600000000000001</v>
      </c>
      <c r="E29" s="11">
        <v>0.184</v>
      </c>
      <c r="F29" s="11">
        <f t="shared" si="2"/>
        <v>1115.0069914515007</v>
      </c>
      <c r="G29" s="11">
        <f t="shared" si="3"/>
        <v>1221.6917841540437</v>
      </c>
    </row>
    <row r="30" spans="1:8" x14ac:dyDescent="0.3">
      <c r="A30" s="11">
        <f t="shared" si="0"/>
        <v>1.3278260817562089E-2</v>
      </c>
      <c r="B30" s="11">
        <f t="shared" si="1"/>
        <v>1.3278260817562089E-2</v>
      </c>
      <c r="C30" s="11">
        <v>0.65</v>
      </c>
      <c r="D30" s="11">
        <v>0.41299999999999998</v>
      </c>
      <c r="E30" s="11">
        <v>0.127</v>
      </c>
      <c r="F30" s="11">
        <f t="shared" si="2"/>
        <v>1109.6925477372135</v>
      </c>
      <c r="G30" s="11">
        <f t="shared" si="3"/>
        <v>1163.1133485673377</v>
      </c>
    </row>
    <row r="31" spans="1:8" x14ac:dyDescent="0.3">
      <c r="A31" s="11">
        <f t="shared" si="0"/>
        <v>1.0597128290172703E-2</v>
      </c>
      <c r="B31" s="11">
        <f t="shared" si="1"/>
        <v>1.0597128290172703E-2</v>
      </c>
      <c r="C31" s="11">
        <v>0.7</v>
      </c>
      <c r="D31" s="11">
        <v>0.51</v>
      </c>
      <c r="E31" s="11">
        <v>8.2000000000000003E-2</v>
      </c>
      <c r="F31" s="11">
        <f t="shared" si="2"/>
        <v>1105.1104922479051</v>
      </c>
      <c r="G31" s="11">
        <f t="shared" si="3"/>
        <v>1127.6610954254197</v>
      </c>
    </row>
    <row r="32" spans="1:8" x14ac:dyDescent="0.3">
      <c r="A32" s="11">
        <f t="shared" si="0"/>
        <v>8.2616664343778141E-3</v>
      </c>
      <c r="B32" s="11">
        <f t="shared" si="1"/>
        <v>8.2616664343778141E-3</v>
      </c>
      <c r="C32" s="11">
        <v>0.75</v>
      </c>
      <c r="D32" s="11">
        <v>0.61699999999999999</v>
      </c>
      <c r="E32" s="11">
        <v>4.5999999999999999E-2</v>
      </c>
      <c r="F32" s="11">
        <f t="shared" si="2"/>
        <v>1101.1191879363516</v>
      </c>
      <c r="G32" s="11">
        <f t="shared" si="3"/>
        <v>1106.0978877889675</v>
      </c>
    </row>
    <row r="33" spans="1:7" x14ac:dyDescent="0.3">
      <c r="A33" s="11">
        <f t="shared" si="0"/>
        <v>6.2090741506581233E-3</v>
      </c>
      <c r="B33" s="11">
        <f t="shared" si="1"/>
        <v>6.2090741506581233E-3</v>
      </c>
      <c r="C33" s="11">
        <v>0.8</v>
      </c>
      <c r="D33" s="11">
        <v>0.73499999999999999</v>
      </c>
      <c r="E33" s="11">
        <v>0.02</v>
      </c>
      <c r="F33" s="11">
        <f t="shared" si="2"/>
        <v>1097.6113077234747</v>
      </c>
      <c r="G33" s="11">
        <f t="shared" si="3"/>
        <v>1094.0201789719088</v>
      </c>
    </row>
    <row r="34" spans="1:7" x14ac:dyDescent="0.3">
      <c r="A34" s="11">
        <f t="shared" si="0"/>
        <v>4.3908945150621295E-3</v>
      </c>
      <c r="B34" s="11">
        <f t="shared" si="1"/>
        <v>4.3908945150621321E-3</v>
      </c>
      <c r="C34" s="11">
        <v>0.85</v>
      </c>
      <c r="D34" s="11">
        <v>0.86299999999999999</v>
      </c>
      <c r="E34" s="11">
        <v>5.0000000000000001E-3</v>
      </c>
      <c r="F34" s="11">
        <f t="shared" si="2"/>
        <v>1094.5040387262413</v>
      </c>
      <c r="G34" s="11">
        <f t="shared" si="3"/>
        <v>1088.4995852061566</v>
      </c>
    </row>
    <row r="35" spans="1:7" x14ac:dyDescent="0.3">
      <c r="A35" s="11">
        <f t="shared" si="0"/>
        <v>2.7691406222130109E-3</v>
      </c>
      <c r="B35" s="11">
        <f t="shared" si="1"/>
        <v>2.7691406222130083E-3</v>
      </c>
      <c r="C35" s="11">
        <v>0.9</v>
      </c>
      <c r="D35" s="11">
        <v>1</v>
      </c>
      <c r="E35" s="11">
        <v>0</v>
      </c>
      <c r="F35" s="11">
        <f t="shared" si="2"/>
        <v>1091.732461323362</v>
      </c>
      <c r="G35" s="11">
        <f t="shared" si="3"/>
        <v>1087</v>
      </c>
    </row>
    <row r="36" spans="1:7" x14ac:dyDescent="0.3">
      <c r="A36" s="11">
        <f t="shared" si="0"/>
        <v>0</v>
      </c>
      <c r="B36" s="11">
        <f t="shared" si="1"/>
        <v>0</v>
      </c>
      <c r="C36" s="11">
        <v>1</v>
      </c>
      <c r="D36" s="11">
        <v>1</v>
      </c>
      <c r="E36" s="11">
        <v>0</v>
      </c>
      <c r="F36" s="11">
        <f t="shared" si="2"/>
        <v>1087</v>
      </c>
      <c r="G36" s="11">
        <f t="shared" si="3"/>
        <v>1087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0A7A3-1573-4834-843F-D76E61D9907C}">
  <dimension ref="A1:C23"/>
  <sheetViews>
    <sheetView topLeftCell="A4" workbookViewId="0">
      <selection activeCell="B23" sqref="B23"/>
    </sheetView>
  </sheetViews>
  <sheetFormatPr defaultRowHeight="14.4" x14ac:dyDescent="0.3"/>
  <cols>
    <col min="3" max="3" width="13.109375" customWidth="1"/>
  </cols>
  <sheetData>
    <row r="1" spans="1:3" ht="57.6" x14ac:dyDescent="0.3">
      <c r="A1" s="1" t="s">
        <v>87</v>
      </c>
      <c r="B1" s="1" t="s">
        <v>88</v>
      </c>
      <c r="C1" s="1" t="s">
        <v>32</v>
      </c>
    </row>
    <row r="2" spans="1:3" x14ac:dyDescent="0.3">
      <c r="A2" s="2">
        <v>0</v>
      </c>
      <c r="B2" s="2">
        <v>0</v>
      </c>
      <c r="C2">
        <f>A2*B2</f>
        <v>0</v>
      </c>
    </row>
    <row r="3" spans="1:3" x14ac:dyDescent="0.3">
      <c r="A3" s="2">
        <v>4.8</v>
      </c>
      <c r="B3" s="2">
        <v>0</v>
      </c>
      <c r="C3">
        <f t="shared" ref="C3:C18" si="0">A3*B3</f>
        <v>0</v>
      </c>
    </row>
    <row r="4" spans="1:3" x14ac:dyDescent="0.3">
      <c r="A4" s="2">
        <v>5</v>
      </c>
      <c r="B4" s="2">
        <v>0.3</v>
      </c>
      <c r="C4">
        <f t="shared" si="0"/>
        <v>1.5</v>
      </c>
    </row>
    <row r="5" spans="1:3" x14ac:dyDescent="0.3">
      <c r="A5" s="2">
        <v>5.2</v>
      </c>
      <c r="B5" s="2">
        <v>1.1000000000000001</v>
      </c>
      <c r="C5">
        <f t="shared" si="0"/>
        <v>5.7200000000000006</v>
      </c>
    </row>
    <row r="6" spans="1:3" x14ac:dyDescent="0.3">
      <c r="A6" s="2">
        <v>5.5</v>
      </c>
      <c r="B6" s="2">
        <v>2.5</v>
      </c>
      <c r="C6">
        <f t="shared" si="0"/>
        <v>13.75</v>
      </c>
    </row>
    <row r="7" spans="1:3" x14ac:dyDescent="0.3">
      <c r="A7" s="2">
        <v>5.8</v>
      </c>
      <c r="B7" s="2">
        <v>4.2</v>
      </c>
      <c r="C7">
        <f t="shared" si="0"/>
        <v>24.36</v>
      </c>
    </row>
    <row r="8" spans="1:3" x14ac:dyDescent="0.3">
      <c r="A8" s="2">
        <v>5.9</v>
      </c>
      <c r="B8" s="2">
        <v>4.9000000000000004</v>
      </c>
      <c r="C8">
        <f t="shared" si="0"/>
        <v>28.910000000000004</v>
      </c>
    </row>
    <row r="9" spans="1:3" x14ac:dyDescent="0.3">
      <c r="A9" s="2">
        <v>6.3</v>
      </c>
      <c r="B9" s="2">
        <v>4.7</v>
      </c>
      <c r="C9">
        <f t="shared" si="0"/>
        <v>29.61</v>
      </c>
    </row>
    <row r="10" spans="1:3" x14ac:dyDescent="0.3">
      <c r="A10" s="2">
        <v>6.5</v>
      </c>
      <c r="B10" s="2">
        <v>3.5</v>
      </c>
      <c r="C10">
        <f t="shared" si="0"/>
        <v>22.75</v>
      </c>
    </row>
    <row r="11" spans="1:3" x14ac:dyDescent="0.3">
      <c r="A11" s="2">
        <v>6.8</v>
      </c>
      <c r="B11" s="2">
        <v>1.8</v>
      </c>
      <c r="C11">
        <f t="shared" si="0"/>
        <v>12.24</v>
      </c>
    </row>
    <row r="12" spans="1:3" x14ac:dyDescent="0.3">
      <c r="A12" s="2">
        <v>7</v>
      </c>
      <c r="B12" s="2">
        <v>1</v>
      </c>
      <c r="C12">
        <f t="shared" si="0"/>
        <v>7</v>
      </c>
    </row>
    <row r="13" spans="1:3" x14ac:dyDescent="0.3">
      <c r="A13" s="2">
        <v>7.3</v>
      </c>
      <c r="B13" s="2">
        <v>0.5</v>
      </c>
      <c r="C13">
        <f t="shared" si="0"/>
        <v>3.65</v>
      </c>
    </row>
    <row r="14" spans="1:3" x14ac:dyDescent="0.3">
      <c r="A14" s="2">
        <v>7.8</v>
      </c>
      <c r="B14" s="2">
        <v>0.25</v>
      </c>
      <c r="C14">
        <f t="shared" si="0"/>
        <v>1.95</v>
      </c>
    </row>
    <row r="15" spans="1:3" x14ac:dyDescent="0.3">
      <c r="A15" s="2">
        <v>9</v>
      </c>
      <c r="B15" s="2">
        <v>0.1</v>
      </c>
      <c r="C15">
        <f t="shared" si="0"/>
        <v>0.9</v>
      </c>
    </row>
    <row r="16" spans="1:3" x14ac:dyDescent="0.3">
      <c r="A16" s="2">
        <v>10</v>
      </c>
      <c r="B16" s="2">
        <v>0.03</v>
      </c>
      <c r="C16">
        <f t="shared" si="0"/>
        <v>0.3</v>
      </c>
    </row>
    <row r="17" spans="1:3" x14ac:dyDescent="0.3">
      <c r="A17" s="2">
        <v>11</v>
      </c>
      <c r="B17" s="2">
        <v>5.0000000000000001E-3</v>
      </c>
      <c r="C17">
        <f t="shared" si="0"/>
        <v>5.5E-2</v>
      </c>
    </row>
    <row r="18" spans="1:3" x14ac:dyDescent="0.3">
      <c r="A18" s="2">
        <v>12</v>
      </c>
      <c r="B18" s="2">
        <v>0</v>
      </c>
      <c r="C18">
        <f t="shared" si="0"/>
        <v>0</v>
      </c>
    </row>
    <row r="19" spans="1:3" x14ac:dyDescent="0.3">
      <c r="A19" t="s">
        <v>33</v>
      </c>
      <c r="B19">
        <f>SUM(B2:B18)</f>
        <v>24.885000000000005</v>
      </c>
      <c r="C19">
        <f>SUM(C2:C18)</f>
        <v>152.69500000000002</v>
      </c>
    </row>
    <row r="22" spans="1:3" x14ac:dyDescent="0.3">
      <c r="A22" s="7" t="s">
        <v>31</v>
      </c>
      <c r="B22" s="7">
        <f>C19/B19</f>
        <v>6.1360257183041993</v>
      </c>
      <c r="C22" t="s">
        <v>90</v>
      </c>
    </row>
    <row r="23" spans="1:3" x14ac:dyDescent="0.3">
      <c r="B23">
        <f>B22*3600</f>
        <v>22089.692585895118</v>
      </c>
      <c r="C23" t="s">
        <v>68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39DB8-B3B5-4107-866A-F474983605E9}">
  <dimension ref="A1:E33"/>
  <sheetViews>
    <sheetView topLeftCell="A7" workbookViewId="0">
      <selection activeCell="H24" sqref="H24"/>
    </sheetView>
  </sheetViews>
  <sheetFormatPr defaultRowHeight="13.2" x14ac:dyDescent="0.25"/>
  <cols>
    <col min="1" max="1" width="23.77734375" style="13" bestFit="1" customWidth="1"/>
    <col min="2" max="2" width="13.77734375" style="13" bestFit="1" customWidth="1"/>
    <col min="3" max="256" width="8.88671875" style="13"/>
    <col min="257" max="257" width="13.88671875" style="13" bestFit="1" customWidth="1"/>
    <col min="258" max="258" width="12.44140625" style="13" bestFit="1" customWidth="1"/>
    <col min="259" max="512" width="8.88671875" style="13"/>
    <col min="513" max="513" width="13.88671875" style="13" bestFit="1" customWidth="1"/>
    <col min="514" max="514" width="12.44140625" style="13" bestFit="1" customWidth="1"/>
    <col min="515" max="768" width="8.88671875" style="13"/>
    <col min="769" max="769" width="13.88671875" style="13" bestFit="1" customWidth="1"/>
    <col min="770" max="770" width="12.44140625" style="13" bestFit="1" customWidth="1"/>
    <col min="771" max="1024" width="8.88671875" style="13"/>
    <col min="1025" max="1025" width="13.88671875" style="13" bestFit="1" customWidth="1"/>
    <col min="1026" max="1026" width="12.44140625" style="13" bestFit="1" customWidth="1"/>
    <col min="1027" max="1280" width="8.88671875" style="13"/>
    <col min="1281" max="1281" width="13.88671875" style="13" bestFit="1" customWidth="1"/>
    <col min="1282" max="1282" width="12.44140625" style="13" bestFit="1" customWidth="1"/>
    <col min="1283" max="1536" width="8.88671875" style="13"/>
    <col min="1537" max="1537" width="13.88671875" style="13" bestFit="1" customWidth="1"/>
    <col min="1538" max="1538" width="12.44140625" style="13" bestFit="1" customWidth="1"/>
    <col min="1539" max="1792" width="8.88671875" style="13"/>
    <col min="1793" max="1793" width="13.88671875" style="13" bestFit="1" customWidth="1"/>
    <col min="1794" max="1794" width="12.44140625" style="13" bestFit="1" customWidth="1"/>
    <col min="1795" max="2048" width="8.88671875" style="13"/>
    <col min="2049" max="2049" width="13.88671875" style="13" bestFit="1" customWidth="1"/>
    <col min="2050" max="2050" width="12.44140625" style="13" bestFit="1" customWidth="1"/>
    <col min="2051" max="2304" width="8.88671875" style="13"/>
    <col min="2305" max="2305" width="13.88671875" style="13" bestFit="1" customWidth="1"/>
    <col min="2306" max="2306" width="12.44140625" style="13" bestFit="1" customWidth="1"/>
    <col min="2307" max="2560" width="8.88671875" style="13"/>
    <col min="2561" max="2561" width="13.88671875" style="13" bestFit="1" customWidth="1"/>
    <col min="2562" max="2562" width="12.44140625" style="13" bestFit="1" customWidth="1"/>
    <col min="2563" max="2816" width="8.88671875" style="13"/>
    <col min="2817" max="2817" width="13.88671875" style="13" bestFit="1" customWidth="1"/>
    <col min="2818" max="2818" width="12.44140625" style="13" bestFit="1" customWidth="1"/>
    <col min="2819" max="3072" width="8.88671875" style="13"/>
    <col min="3073" max="3073" width="13.88671875" style="13" bestFit="1" customWidth="1"/>
    <col min="3074" max="3074" width="12.44140625" style="13" bestFit="1" customWidth="1"/>
    <col min="3075" max="3328" width="8.88671875" style="13"/>
    <col min="3329" max="3329" width="13.88671875" style="13" bestFit="1" customWidth="1"/>
    <col min="3330" max="3330" width="12.44140625" style="13" bestFit="1" customWidth="1"/>
    <col min="3331" max="3584" width="8.88671875" style="13"/>
    <col min="3585" max="3585" width="13.88671875" style="13" bestFit="1" customWidth="1"/>
    <col min="3586" max="3586" width="12.44140625" style="13" bestFit="1" customWidth="1"/>
    <col min="3587" max="3840" width="8.88671875" style="13"/>
    <col min="3841" max="3841" width="13.88671875" style="13" bestFit="1" customWidth="1"/>
    <col min="3842" max="3842" width="12.44140625" style="13" bestFit="1" customWidth="1"/>
    <col min="3843" max="4096" width="8.88671875" style="13"/>
    <col min="4097" max="4097" width="13.88671875" style="13" bestFit="1" customWidth="1"/>
    <col min="4098" max="4098" width="12.44140625" style="13" bestFit="1" customWidth="1"/>
    <col min="4099" max="4352" width="8.88671875" style="13"/>
    <col min="4353" max="4353" width="13.88671875" style="13" bestFit="1" customWidth="1"/>
    <col min="4354" max="4354" width="12.44140625" style="13" bestFit="1" customWidth="1"/>
    <col min="4355" max="4608" width="8.88671875" style="13"/>
    <col min="4609" max="4609" width="13.88671875" style="13" bestFit="1" customWidth="1"/>
    <col min="4610" max="4610" width="12.44140625" style="13" bestFit="1" customWidth="1"/>
    <col min="4611" max="4864" width="8.88671875" style="13"/>
    <col min="4865" max="4865" width="13.88671875" style="13" bestFit="1" customWidth="1"/>
    <col min="4866" max="4866" width="12.44140625" style="13" bestFit="1" customWidth="1"/>
    <col min="4867" max="5120" width="8.88671875" style="13"/>
    <col min="5121" max="5121" width="13.88671875" style="13" bestFit="1" customWidth="1"/>
    <col min="5122" max="5122" width="12.44140625" style="13" bestFit="1" customWidth="1"/>
    <col min="5123" max="5376" width="8.88671875" style="13"/>
    <col min="5377" max="5377" width="13.88671875" style="13" bestFit="1" customWidth="1"/>
    <col min="5378" max="5378" width="12.44140625" style="13" bestFit="1" customWidth="1"/>
    <col min="5379" max="5632" width="8.88671875" style="13"/>
    <col min="5633" max="5633" width="13.88671875" style="13" bestFit="1" customWidth="1"/>
    <col min="5634" max="5634" width="12.44140625" style="13" bestFit="1" customWidth="1"/>
    <col min="5635" max="5888" width="8.88671875" style="13"/>
    <col min="5889" max="5889" width="13.88671875" style="13" bestFit="1" customWidth="1"/>
    <col min="5890" max="5890" width="12.44140625" style="13" bestFit="1" customWidth="1"/>
    <col min="5891" max="6144" width="8.88671875" style="13"/>
    <col min="6145" max="6145" width="13.88671875" style="13" bestFit="1" customWidth="1"/>
    <col min="6146" max="6146" width="12.44140625" style="13" bestFit="1" customWidth="1"/>
    <col min="6147" max="6400" width="8.88671875" style="13"/>
    <col min="6401" max="6401" width="13.88671875" style="13" bestFit="1" customWidth="1"/>
    <col min="6402" max="6402" width="12.44140625" style="13" bestFit="1" customWidth="1"/>
    <col min="6403" max="6656" width="8.88671875" style="13"/>
    <col min="6657" max="6657" width="13.88671875" style="13" bestFit="1" customWidth="1"/>
    <col min="6658" max="6658" width="12.44140625" style="13" bestFit="1" customWidth="1"/>
    <col min="6659" max="6912" width="8.88671875" style="13"/>
    <col min="6913" max="6913" width="13.88671875" style="13" bestFit="1" customWidth="1"/>
    <col min="6914" max="6914" width="12.44140625" style="13" bestFit="1" customWidth="1"/>
    <col min="6915" max="7168" width="8.88671875" style="13"/>
    <col min="7169" max="7169" width="13.88671875" style="13" bestFit="1" customWidth="1"/>
    <col min="7170" max="7170" width="12.44140625" style="13" bestFit="1" customWidth="1"/>
    <col min="7171" max="7424" width="8.88671875" style="13"/>
    <col min="7425" max="7425" width="13.88671875" style="13" bestFit="1" customWidth="1"/>
    <col min="7426" max="7426" width="12.44140625" style="13" bestFit="1" customWidth="1"/>
    <col min="7427" max="7680" width="8.88671875" style="13"/>
    <col min="7681" max="7681" width="13.88671875" style="13" bestFit="1" customWidth="1"/>
    <col min="7682" max="7682" width="12.44140625" style="13" bestFit="1" customWidth="1"/>
    <col min="7683" max="7936" width="8.88671875" style="13"/>
    <col min="7937" max="7937" width="13.88671875" style="13" bestFit="1" customWidth="1"/>
    <col min="7938" max="7938" width="12.44140625" style="13" bestFit="1" customWidth="1"/>
    <col min="7939" max="8192" width="8.88671875" style="13"/>
    <col min="8193" max="8193" width="13.88671875" style="13" bestFit="1" customWidth="1"/>
    <col min="8194" max="8194" width="12.44140625" style="13" bestFit="1" customWidth="1"/>
    <col min="8195" max="8448" width="8.88671875" style="13"/>
    <col min="8449" max="8449" width="13.88671875" style="13" bestFit="1" customWidth="1"/>
    <col min="8450" max="8450" width="12.44140625" style="13" bestFit="1" customWidth="1"/>
    <col min="8451" max="8704" width="8.88671875" style="13"/>
    <col min="8705" max="8705" width="13.88671875" style="13" bestFit="1" customWidth="1"/>
    <col min="8706" max="8706" width="12.44140625" style="13" bestFit="1" customWidth="1"/>
    <col min="8707" max="8960" width="8.88671875" style="13"/>
    <col min="8961" max="8961" width="13.88671875" style="13" bestFit="1" customWidth="1"/>
    <col min="8962" max="8962" width="12.44140625" style="13" bestFit="1" customWidth="1"/>
    <col min="8963" max="9216" width="8.88671875" style="13"/>
    <col min="9217" max="9217" width="13.88671875" style="13" bestFit="1" customWidth="1"/>
    <col min="9218" max="9218" width="12.44140625" style="13" bestFit="1" customWidth="1"/>
    <col min="9219" max="9472" width="8.88671875" style="13"/>
    <col min="9473" max="9473" width="13.88671875" style="13" bestFit="1" customWidth="1"/>
    <col min="9474" max="9474" width="12.44140625" style="13" bestFit="1" customWidth="1"/>
    <col min="9475" max="9728" width="8.88671875" style="13"/>
    <col min="9729" max="9729" width="13.88671875" style="13" bestFit="1" customWidth="1"/>
    <col min="9730" max="9730" width="12.44140625" style="13" bestFit="1" customWidth="1"/>
    <col min="9731" max="9984" width="8.88671875" style="13"/>
    <col min="9985" max="9985" width="13.88671875" style="13" bestFit="1" customWidth="1"/>
    <col min="9986" max="9986" width="12.44140625" style="13" bestFit="1" customWidth="1"/>
    <col min="9987" max="10240" width="8.88671875" style="13"/>
    <col min="10241" max="10241" width="13.88671875" style="13" bestFit="1" customWidth="1"/>
    <col min="10242" max="10242" width="12.44140625" style="13" bestFit="1" customWidth="1"/>
    <col min="10243" max="10496" width="8.88671875" style="13"/>
    <col min="10497" max="10497" width="13.88671875" style="13" bestFit="1" customWidth="1"/>
    <col min="10498" max="10498" width="12.44140625" style="13" bestFit="1" customWidth="1"/>
    <col min="10499" max="10752" width="8.88671875" style="13"/>
    <col min="10753" max="10753" width="13.88671875" style="13" bestFit="1" customWidth="1"/>
    <col min="10754" max="10754" width="12.44140625" style="13" bestFit="1" customWidth="1"/>
    <col min="10755" max="11008" width="8.88671875" style="13"/>
    <col min="11009" max="11009" width="13.88671875" style="13" bestFit="1" customWidth="1"/>
    <col min="11010" max="11010" width="12.44140625" style="13" bestFit="1" customWidth="1"/>
    <col min="11011" max="11264" width="8.88671875" style="13"/>
    <col min="11265" max="11265" width="13.88671875" style="13" bestFit="1" customWidth="1"/>
    <col min="11266" max="11266" width="12.44140625" style="13" bestFit="1" customWidth="1"/>
    <col min="11267" max="11520" width="8.88671875" style="13"/>
    <col min="11521" max="11521" width="13.88671875" style="13" bestFit="1" customWidth="1"/>
    <col min="11522" max="11522" width="12.44140625" style="13" bestFit="1" customWidth="1"/>
    <col min="11523" max="11776" width="8.88671875" style="13"/>
    <col min="11777" max="11777" width="13.88671875" style="13" bestFit="1" customWidth="1"/>
    <col min="11778" max="11778" width="12.44140625" style="13" bestFit="1" customWidth="1"/>
    <col min="11779" max="12032" width="8.88671875" style="13"/>
    <col min="12033" max="12033" width="13.88671875" style="13" bestFit="1" customWidth="1"/>
    <col min="12034" max="12034" width="12.44140625" style="13" bestFit="1" customWidth="1"/>
    <col min="12035" max="12288" width="8.88671875" style="13"/>
    <col min="12289" max="12289" width="13.88671875" style="13" bestFit="1" customWidth="1"/>
    <col min="12290" max="12290" width="12.44140625" style="13" bestFit="1" customWidth="1"/>
    <col min="12291" max="12544" width="8.88671875" style="13"/>
    <col min="12545" max="12545" width="13.88671875" style="13" bestFit="1" customWidth="1"/>
    <col min="12546" max="12546" width="12.44140625" style="13" bestFit="1" customWidth="1"/>
    <col min="12547" max="12800" width="8.88671875" style="13"/>
    <col min="12801" max="12801" width="13.88671875" style="13" bestFit="1" customWidth="1"/>
    <col min="12802" max="12802" width="12.44140625" style="13" bestFit="1" customWidth="1"/>
    <col min="12803" max="13056" width="8.88671875" style="13"/>
    <col min="13057" max="13057" width="13.88671875" style="13" bestFit="1" customWidth="1"/>
    <col min="13058" max="13058" width="12.44140625" style="13" bestFit="1" customWidth="1"/>
    <col min="13059" max="13312" width="8.88671875" style="13"/>
    <col min="13313" max="13313" width="13.88671875" style="13" bestFit="1" customWidth="1"/>
    <col min="13314" max="13314" width="12.44140625" style="13" bestFit="1" customWidth="1"/>
    <col min="13315" max="13568" width="8.88671875" style="13"/>
    <col min="13569" max="13569" width="13.88671875" style="13" bestFit="1" customWidth="1"/>
    <col min="13570" max="13570" width="12.44140625" style="13" bestFit="1" customWidth="1"/>
    <col min="13571" max="13824" width="8.88671875" style="13"/>
    <col min="13825" max="13825" width="13.88671875" style="13" bestFit="1" customWidth="1"/>
    <col min="13826" max="13826" width="12.44140625" style="13" bestFit="1" customWidth="1"/>
    <col min="13827" max="14080" width="8.88671875" style="13"/>
    <col min="14081" max="14081" width="13.88671875" style="13" bestFit="1" customWidth="1"/>
    <col min="14082" max="14082" width="12.44140625" style="13" bestFit="1" customWidth="1"/>
    <col min="14083" max="14336" width="8.88671875" style="13"/>
    <col min="14337" max="14337" width="13.88671875" style="13" bestFit="1" customWidth="1"/>
    <col min="14338" max="14338" width="12.44140625" style="13" bestFit="1" customWidth="1"/>
    <col min="14339" max="14592" width="8.88671875" style="13"/>
    <col min="14593" max="14593" width="13.88671875" style="13" bestFit="1" customWidth="1"/>
    <col min="14594" max="14594" width="12.44140625" style="13" bestFit="1" customWidth="1"/>
    <col min="14595" max="14848" width="8.88671875" style="13"/>
    <col min="14849" max="14849" width="13.88671875" style="13" bestFit="1" customWidth="1"/>
    <col min="14850" max="14850" width="12.44140625" style="13" bestFit="1" customWidth="1"/>
    <col min="14851" max="15104" width="8.88671875" style="13"/>
    <col min="15105" max="15105" width="13.88671875" style="13" bestFit="1" customWidth="1"/>
    <col min="15106" max="15106" width="12.44140625" style="13" bestFit="1" customWidth="1"/>
    <col min="15107" max="15360" width="8.88671875" style="13"/>
    <col min="15361" max="15361" width="13.88671875" style="13" bestFit="1" customWidth="1"/>
    <col min="15362" max="15362" width="12.44140625" style="13" bestFit="1" customWidth="1"/>
    <col min="15363" max="15616" width="8.88671875" style="13"/>
    <col min="15617" max="15617" width="13.88671875" style="13" bestFit="1" customWidth="1"/>
    <col min="15618" max="15618" width="12.44140625" style="13" bestFit="1" customWidth="1"/>
    <col min="15619" max="15872" width="8.88671875" style="13"/>
    <col min="15873" max="15873" width="13.88671875" style="13" bestFit="1" customWidth="1"/>
    <col min="15874" max="15874" width="12.44140625" style="13" bestFit="1" customWidth="1"/>
    <col min="15875" max="16128" width="8.88671875" style="13"/>
    <col min="16129" max="16129" width="13.88671875" style="13" bestFit="1" customWidth="1"/>
    <col min="16130" max="16130" width="12.44140625" style="13" bestFit="1" customWidth="1"/>
    <col min="16131" max="16384" width="8.88671875" style="13"/>
  </cols>
  <sheetData>
    <row r="1" spans="1:4" x14ac:dyDescent="0.25">
      <c r="A1" s="13" t="s">
        <v>7</v>
      </c>
      <c r="B1" s="13">
        <v>2650</v>
      </c>
      <c r="C1" s="13" t="s">
        <v>16</v>
      </c>
    </row>
    <row r="2" spans="1:4" x14ac:dyDescent="0.25">
      <c r="A2" s="13" t="s">
        <v>78</v>
      </c>
      <c r="B2" s="13">
        <v>1000</v>
      </c>
      <c r="C2" s="13" t="s">
        <v>48</v>
      </c>
    </row>
    <row r="3" spans="1:4" x14ac:dyDescent="0.25">
      <c r="A3" s="13" t="s">
        <v>83</v>
      </c>
      <c r="B3" s="13">
        <v>100</v>
      </c>
      <c r="C3" s="13" t="s">
        <v>49</v>
      </c>
    </row>
    <row r="4" spans="1:4" x14ac:dyDescent="0.25">
      <c r="A4" s="13" t="s">
        <v>50</v>
      </c>
      <c r="B4" s="13">
        <v>60</v>
      </c>
      <c r="C4" s="13" t="s">
        <v>51</v>
      </c>
    </row>
    <row r="5" spans="1:4" x14ac:dyDescent="0.25">
      <c r="A5" s="13" t="s">
        <v>79</v>
      </c>
      <c r="B5" s="13">
        <v>799.2</v>
      </c>
    </row>
    <row r="6" spans="1:4" x14ac:dyDescent="0.25">
      <c r="A6" s="13" t="s">
        <v>80</v>
      </c>
      <c r="B6" s="13">
        <v>4100</v>
      </c>
    </row>
    <row r="7" spans="1:4" x14ac:dyDescent="0.25">
      <c r="A7" s="13" t="s">
        <v>86</v>
      </c>
      <c r="B7" s="13">
        <v>0.1</v>
      </c>
    </row>
    <row r="8" spans="1:4" ht="14.4" x14ac:dyDescent="0.3">
      <c r="A8" s="13" t="s">
        <v>89</v>
      </c>
      <c r="B8">
        <v>2</v>
      </c>
    </row>
    <row r="9" spans="1:4" ht="14.4" x14ac:dyDescent="0.3">
      <c r="A9" s="13" t="s">
        <v>42</v>
      </c>
      <c r="B9">
        <v>100</v>
      </c>
      <c r="C9" s="13" t="s">
        <v>52</v>
      </c>
      <c r="D9" s="13" t="s">
        <v>84</v>
      </c>
    </row>
    <row r="10" spans="1:4" ht="14.4" x14ac:dyDescent="0.3">
      <c r="A10" s="13" t="s">
        <v>53</v>
      </c>
      <c r="B10">
        <v>500</v>
      </c>
      <c r="C10" s="13" t="s">
        <v>52</v>
      </c>
      <c r="D10" s="13" t="s">
        <v>54</v>
      </c>
    </row>
    <row r="11" spans="1:4" ht="14.4" x14ac:dyDescent="0.3">
      <c r="A11" s="13" t="s">
        <v>55</v>
      </c>
      <c r="B11">
        <v>500</v>
      </c>
      <c r="C11" s="13" t="s">
        <v>52</v>
      </c>
      <c r="D11" s="13" t="s">
        <v>56</v>
      </c>
    </row>
    <row r="12" spans="1:4" ht="14.4" x14ac:dyDescent="0.3">
      <c r="A12" s="13" t="s">
        <v>57</v>
      </c>
      <c r="B12">
        <v>5.0000000000000001E-3</v>
      </c>
      <c r="C12" s="13" t="s">
        <v>52</v>
      </c>
      <c r="D12" s="13" t="s">
        <v>58</v>
      </c>
    </row>
    <row r="13" spans="1:4" ht="14.4" x14ac:dyDescent="0.3">
      <c r="A13" s="13" t="s">
        <v>59</v>
      </c>
      <c r="B13">
        <v>250</v>
      </c>
    </row>
    <row r="14" spans="1:4" x14ac:dyDescent="0.25">
      <c r="A14" s="13" t="s">
        <v>81</v>
      </c>
      <c r="B14" s="17">
        <v>965.2</v>
      </c>
    </row>
    <row r="15" spans="1:4" x14ac:dyDescent="0.25">
      <c r="A15" s="13" t="s">
        <v>82</v>
      </c>
      <c r="B15" s="17">
        <f>B3/B14</f>
        <v>0.10360547036883547</v>
      </c>
      <c r="C15" s="13" t="s">
        <v>60</v>
      </c>
    </row>
    <row r="16" spans="1:4" x14ac:dyDescent="0.25">
      <c r="B16" s="17"/>
    </row>
    <row r="17" spans="1:5" ht="14.4" x14ac:dyDescent="0.3">
      <c r="B17"/>
    </row>
    <row r="18" spans="1:5" ht="14.4" x14ac:dyDescent="0.3">
      <c r="A18" s="13" t="s">
        <v>61</v>
      </c>
      <c r="B18">
        <f>(B7*B5*B6)+((1-B7)*B2*B1)</f>
        <v>2712672</v>
      </c>
      <c r="C18" s="13" t="s">
        <v>62</v>
      </c>
      <c r="E18" s="13" t="s">
        <v>85</v>
      </c>
    </row>
    <row r="19" spans="1:5" ht="14.4" x14ac:dyDescent="0.3">
      <c r="A19" s="13" t="s">
        <v>63</v>
      </c>
      <c r="B19">
        <f>B5*B6</f>
        <v>3276720</v>
      </c>
    </row>
    <row r="20" spans="1:5" ht="14.4" x14ac:dyDescent="0.3">
      <c r="A20" s="13" t="s">
        <v>64</v>
      </c>
      <c r="B20">
        <f>B10*B11</f>
        <v>250000</v>
      </c>
    </row>
    <row r="21" spans="1:5" ht="14.4" x14ac:dyDescent="0.3">
      <c r="B21"/>
    </row>
    <row r="22" spans="1:5" x14ac:dyDescent="0.25">
      <c r="A22" s="13" t="s">
        <v>65</v>
      </c>
      <c r="B22" s="17">
        <f>B15/(B20*B7)</f>
        <v>4.1442188147534188E-6</v>
      </c>
      <c r="C22" s="13" t="s">
        <v>66</v>
      </c>
      <c r="D22" s="13" t="s">
        <v>67</v>
      </c>
    </row>
    <row r="23" spans="1:5" ht="14.4" x14ac:dyDescent="0.3">
      <c r="A23" s="14" t="s">
        <v>31</v>
      </c>
      <c r="B23">
        <f>B9/B22</f>
        <v>24130000</v>
      </c>
      <c r="C23" s="14" t="s">
        <v>68</v>
      </c>
      <c r="D23" s="14">
        <f>0.0000000317098*B23</f>
        <v>0.765157474</v>
      </c>
      <c r="E23" s="14" t="s">
        <v>69</v>
      </c>
    </row>
    <row r="24" spans="1:5" ht="14.4" x14ac:dyDescent="0.3">
      <c r="A24" s="13" t="s">
        <v>70</v>
      </c>
      <c r="B24">
        <f>(B19/B18)*B22*B7</f>
        <v>5.005929457995225E-7</v>
      </c>
      <c r="C24" s="13" t="s">
        <v>66</v>
      </c>
    </row>
    <row r="25" spans="1:5" ht="14.4" x14ac:dyDescent="0.3">
      <c r="A25" s="14" t="s">
        <v>71</v>
      </c>
      <c r="B25">
        <f>B9/B24</f>
        <v>199763102.61480993</v>
      </c>
      <c r="C25" s="14" t="s">
        <v>68</v>
      </c>
      <c r="D25" s="14">
        <f>0.0000000317098*B25</f>
        <v>6.3344480312950999</v>
      </c>
      <c r="E25" s="14" t="s">
        <v>69</v>
      </c>
    </row>
    <row r="26" spans="1:5" ht="14.4" x14ac:dyDescent="0.3">
      <c r="B26"/>
    </row>
    <row r="27" spans="1:5" ht="14.4" x14ac:dyDescent="0.3">
      <c r="A27" s="13" t="s">
        <v>72</v>
      </c>
      <c r="B27">
        <f>B24/(1+(4.234*(B9*B8*B1*B2)/(B11^2*B18^2*B24)))</f>
        <v>4.9937610104552236E-7</v>
      </c>
      <c r="C27" s="13" t="s">
        <v>66</v>
      </c>
      <c r="D27" s="13" t="s">
        <v>73</v>
      </c>
    </row>
    <row r="28" spans="1:5" ht="14.4" x14ac:dyDescent="0.3">
      <c r="A28" s="14" t="s">
        <v>74</v>
      </c>
      <c r="B28">
        <f>B9/B27</f>
        <v>200249871.370765</v>
      </c>
      <c r="C28" s="14" t="s">
        <v>68</v>
      </c>
      <c r="D28" s="14">
        <f>0.0000000317098*B28</f>
        <v>6.3498833711926839</v>
      </c>
    </row>
    <row r="29" spans="1:5" ht="14.4" x14ac:dyDescent="0.3">
      <c r="B29"/>
    </row>
    <row r="30" spans="1:5" ht="14.4" x14ac:dyDescent="0.3">
      <c r="A30" s="13" t="s">
        <v>75</v>
      </c>
      <c r="B30">
        <f>B12*B11</f>
        <v>2.5</v>
      </c>
      <c r="D30" s="13" t="s">
        <v>76</v>
      </c>
    </row>
    <row r="31" spans="1:5" ht="14.4" x14ac:dyDescent="0.3">
      <c r="A31" s="13" t="s">
        <v>65</v>
      </c>
      <c r="B31">
        <f>B15/(B30*1)</f>
        <v>4.1442188147534184E-2</v>
      </c>
      <c r="C31" s="13" t="s">
        <v>77</v>
      </c>
    </row>
    <row r="32" spans="1:5" ht="14.4" x14ac:dyDescent="0.3">
      <c r="A32" s="14" t="s">
        <v>31</v>
      </c>
      <c r="B32">
        <f>B9/B31</f>
        <v>2413.0000000000005</v>
      </c>
      <c r="C32" s="14"/>
      <c r="D32" s="14">
        <f>0.0000000317098*B32</f>
        <v>7.6515747400000012E-5</v>
      </c>
    </row>
    <row r="33" spans="1:5" ht="14.4" x14ac:dyDescent="0.3">
      <c r="A33" s="14" t="s">
        <v>71</v>
      </c>
      <c r="B33">
        <f>B32+4.234*(B32/B12)^2*((B8*B18)/B19^2)</f>
        <v>500693.74519025796</v>
      </c>
      <c r="C33" s="14"/>
      <c r="D33" s="14">
        <f>0.0000000317098*B33</f>
        <v>1.5876898521234042E-2</v>
      </c>
      <c r="E33" s="13" t="s">
        <v>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9621F-A5A5-4963-9A71-EA2086218B3B}">
  <dimension ref="A1:E33"/>
  <sheetViews>
    <sheetView topLeftCell="A7" workbookViewId="0">
      <selection activeCell="D10" sqref="D10"/>
    </sheetView>
  </sheetViews>
  <sheetFormatPr defaultRowHeight="13.2" x14ac:dyDescent="0.25"/>
  <cols>
    <col min="1" max="1" width="23.77734375" style="13" bestFit="1" customWidth="1"/>
    <col min="2" max="2" width="12.44140625" style="13" bestFit="1" customWidth="1"/>
    <col min="3" max="256" width="8.88671875" style="13"/>
    <col min="257" max="257" width="13.88671875" style="13" bestFit="1" customWidth="1"/>
    <col min="258" max="258" width="12.44140625" style="13" bestFit="1" customWidth="1"/>
    <col min="259" max="512" width="8.88671875" style="13"/>
    <col min="513" max="513" width="13.88671875" style="13" bestFit="1" customWidth="1"/>
    <col min="514" max="514" width="12.44140625" style="13" bestFit="1" customWidth="1"/>
    <col min="515" max="768" width="8.88671875" style="13"/>
    <col min="769" max="769" width="13.88671875" style="13" bestFit="1" customWidth="1"/>
    <col min="770" max="770" width="12.44140625" style="13" bestFit="1" customWidth="1"/>
    <col min="771" max="1024" width="8.88671875" style="13"/>
    <col min="1025" max="1025" width="13.88671875" style="13" bestFit="1" customWidth="1"/>
    <col min="1026" max="1026" width="12.44140625" style="13" bestFit="1" customWidth="1"/>
    <col min="1027" max="1280" width="8.88671875" style="13"/>
    <col min="1281" max="1281" width="13.88671875" style="13" bestFit="1" customWidth="1"/>
    <col min="1282" max="1282" width="12.44140625" style="13" bestFit="1" customWidth="1"/>
    <col min="1283" max="1536" width="8.88671875" style="13"/>
    <col min="1537" max="1537" width="13.88671875" style="13" bestFit="1" customWidth="1"/>
    <col min="1538" max="1538" width="12.44140625" style="13" bestFit="1" customWidth="1"/>
    <col min="1539" max="1792" width="8.88671875" style="13"/>
    <col min="1793" max="1793" width="13.88671875" style="13" bestFit="1" customWidth="1"/>
    <col min="1794" max="1794" width="12.44140625" style="13" bestFit="1" customWidth="1"/>
    <col min="1795" max="2048" width="8.88671875" style="13"/>
    <col min="2049" max="2049" width="13.88671875" style="13" bestFit="1" customWidth="1"/>
    <col min="2050" max="2050" width="12.44140625" style="13" bestFit="1" customWidth="1"/>
    <col min="2051" max="2304" width="8.88671875" style="13"/>
    <col min="2305" max="2305" width="13.88671875" style="13" bestFit="1" customWidth="1"/>
    <col min="2306" max="2306" width="12.44140625" style="13" bestFit="1" customWidth="1"/>
    <col min="2307" max="2560" width="8.88671875" style="13"/>
    <col min="2561" max="2561" width="13.88671875" style="13" bestFit="1" customWidth="1"/>
    <col min="2562" max="2562" width="12.44140625" style="13" bestFit="1" customWidth="1"/>
    <col min="2563" max="2816" width="8.88671875" style="13"/>
    <col min="2817" max="2817" width="13.88671875" style="13" bestFit="1" customWidth="1"/>
    <col min="2818" max="2818" width="12.44140625" style="13" bestFit="1" customWidth="1"/>
    <col min="2819" max="3072" width="8.88671875" style="13"/>
    <col min="3073" max="3073" width="13.88671875" style="13" bestFit="1" customWidth="1"/>
    <col min="3074" max="3074" width="12.44140625" style="13" bestFit="1" customWidth="1"/>
    <col min="3075" max="3328" width="8.88671875" style="13"/>
    <col min="3329" max="3329" width="13.88671875" style="13" bestFit="1" customWidth="1"/>
    <col min="3330" max="3330" width="12.44140625" style="13" bestFit="1" customWidth="1"/>
    <col min="3331" max="3584" width="8.88671875" style="13"/>
    <col min="3585" max="3585" width="13.88671875" style="13" bestFit="1" customWidth="1"/>
    <col min="3586" max="3586" width="12.44140625" style="13" bestFit="1" customWidth="1"/>
    <col min="3587" max="3840" width="8.88671875" style="13"/>
    <col min="3841" max="3841" width="13.88671875" style="13" bestFit="1" customWidth="1"/>
    <col min="3842" max="3842" width="12.44140625" style="13" bestFit="1" customWidth="1"/>
    <col min="3843" max="4096" width="8.88671875" style="13"/>
    <col min="4097" max="4097" width="13.88671875" style="13" bestFit="1" customWidth="1"/>
    <col min="4098" max="4098" width="12.44140625" style="13" bestFit="1" customWidth="1"/>
    <col min="4099" max="4352" width="8.88671875" style="13"/>
    <col min="4353" max="4353" width="13.88671875" style="13" bestFit="1" customWidth="1"/>
    <col min="4354" max="4354" width="12.44140625" style="13" bestFit="1" customWidth="1"/>
    <col min="4355" max="4608" width="8.88671875" style="13"/>
    <col min="4609" max="4609" width="13.88671875" style="13" bestFit="1" customWidth="1"/>
    <col min="4610" max="4610" width="12.44140625" style="13" bestFit="1" customWidth="1"/>
    <col min="4611" max="4864" width="8.88671875" style="13"/>
    <col min="4865" max="4865" width="13.88671875" style="13" bestFit="1" customWidth="1"/>
    <col min="4866" max="4866" width="12.44140625" style="13" bestFit="1" customWidth="1"/>
    <col min="4867" max="5120" width="8.88671875" style="13"/>
    <col min="5121" max="5121" width="13.88671875" style="13" bestFit="1" customWidth="1"/>
    <col min="5122" max="5122" width="12.44140625" style="13" bestFit="1" customWidth="1"/>
    <col min="5123" max="5376" width="8.88671875" style="13"/>
    <col min="5377" max="5377" width="13.88671875" style="13" bestFit="1" customWidth="1"/>
    <col min="5378" max="5378" width="12.44140625" style="13" bestFit="1" customWidth="1"/>
    <col min="5379" max="5632" width="8.88671875" style="13"/>
    <col min="5633" max="5633" width="13.88671875" style="13" bestFit="1" customWidth="1"/>
    <col min="5634" max="5634" width="12.44140625" style="13" bestFit="1" customWidth="1"/>
    <col min="5635" max="5888" width="8.88671875" style="13"/>
    <col min="5889" max="5889" width="13.88671875" style="13" bestFit="1" customWidth="1"/>
    <col min="5890" max="5890" width="12.44140625" style="13" bestFit="1" customWidth="1"/>
    <col min="5891" max="6144" width="8.88671875" style="13"/>
    <col min="6145" max="6145" width="13.88671875" style="13" bestFit="1" customWidth="1"/>
    <col min="6146" max="6146" width="12.44140625" style="13" bestFit="1" customWidth="1"/>
    <col min="6147" max="6400" width="8.88671875" style="13"/>
    <col min="6401" max="6401" width="13.88671875" style="13" bestFit="1" customWidth="1"/>
    <col min="6402" max="6402" width="12.44140625" style="13" bestFit="1" customWidth="1"/>
    <col min="6403" max="6656" width="8.88671875" style="13"/>
    <col min="6657" max="6657" width="13.88671875" style="13" bestFit="1" customWidth="1"/>
    <col min="6658" max="6658" width="12.44140625" style="13" bestFit="1" customWidth="1"/>
    <col min="6659" max="6912" width="8.88671875" style="13"/>
    <col min="6913" max="6913" width="13.88671875" style="13" bestFit="1" customWidth="1"/>
    <col min="6914" max="6914" width="12.44140625" style="13" bestFit="1" customWidth="1"/>
    <col min="6915" max="7168" width="8.88671875" style="13"/>
    <col min="7169" max="7169" width="13.88671875" style="13" bestFit="1" customWidth="1"/>
    <col min="7170" max="7170" width="12.44140625" style="13" bestFit="1" customWidth="1"/>
    <col min="7171" max="7424" width="8.88671875" style="13"/>
    <col min="7425" max="7425" width="13.88671875" style="13" bestFit="1" customWidth="1"/>
    <col min="7426" max="7426" width="12.44140625" style="13" bestFit="1" customWidth="1"/>
    <col min="7427" max="7680" width="8.88671875" style="13"/>
    <col min="7681" max="7681" width="13.88671875" style="13" bestFit="1" customWidth="1"/>
    <col min="7682" max="7682" width="12.44140625" style="13" bestFit="1" customWidth="1"/>
    <col min="7683" max="7936" width="8.88671875" style="13"/>
    <col min="7937" max="7937" width="13.88671875" style="13" bestFit="1" customWidth="1"/>
    <col min="7938" max="7938" width="12.44140625" style="13" bestFit="1" customWidth="1"/>
    <col min="7939" max="8192" width="8.88671875" style="13"/>
    <col min="8193" max="8193" width="13.88671875" style="13" bestFit="1" customWidth="1"/>
    <col min="8194" max="8194" width="12.44140625" style="13" bestFit="1" customWidth="1"/>
    <col min="8195" max="8448" width="8.88671875" style="13"/>
    <col min="8449" max="8449" width="13.88671875" style="13" bestFit="1" customWidth="1"/>
    <col min="8450" max="8450" width="12.44140625" style="13" bestFit="1" customWidth="1"/>
    <col min="8451" max="8704" width="8.88671875" style="13"/>
    <col min="8705" max="8705" width="13.88671875" style="13" bestFit="1" customWidth="1"/>
    <col min="8706" max="8706" width="12.44140625" style="13" bestFit="1" customWidth="1"/>
    <col min="8707" max="8960" width="8.88671875" style="13"/>
    <col min="8961" max="8961" width="13.88671875" style="13" bestFit="1" customWidth="1"/>
    <col min="8962" max="8962" width="12.44140625" style="13" bestFit="1" customWidth="1"/>
    <col min="8963" max="9216" width="8.88671875" style="13"/>
    <col min="9217" max="9217" width="13.88671875" style="13" bestFit="1" customWidth="1"/>
    <col min="9218" max="9218" width="12.44140625" style="13" bestFit="1" customWidth="1"/>
    <col min="9219" max="9472" width="8.88671875" style="13"/>
    <col min="9473" max="9473" width="13.88671875" style="13" bestFit="1" customWidth="1"/>
    <col min="9474" max="9474" width="12.44140625" style="13" bestFit="1" customWidth="1"/>
    <col min="9475" max="9728" width="8.88671875" style="13"/>
    <col min="9729" max="9729" width="13.88671875" style="13" bestFit="1" customWidth="1"/>
    <col min="9730" max="9730" width="12.44140625" style="13" bestFit="1" customWidth="1"/>
    <col min="9731" max="9984" width="8.88671875" style="13"/>
    <col min="9985" max="9985" width="13.88671875" style="13" bestFit="1" customWidth="1"/>
    <col min="9986" max="9986" width="12.44140625" style="13" bestFit="1" customWidth="1"/>
    <col min="9987" max="10240" width="8.88671875" style="13"/>
    <col min="10241" max="10241" width="13.88671875" style="13" bestFit="1" customWidth="1"/>
    <col min="10242" max="10242" width="12.44140625" style="13" bestFit="1" customWidth="1"/>
    <col min="10243" max="10496" width="8.88671875" style="13"/>
    <col min="10497" max="10497" width="13.88671875" style="13" bestFit="1" customWidth="1"/>
    <col min="10498" max="10498" width="12.44140625" style="13" bestFit="1" customWidth="1"/>
    <col min="10499" max="10752" width="8.88671875" style="13"/>
    <col min="10753" max="10753" width="13.88671875" style="13" bestFit="1" customWidth="1"/>
    <col min="10754" max="10754" width="12.44140625" style="13" bestFit="1" customWidth="1"/>
    <col min="10755" max="11008" width="8.88671875" style="13"/>
    <col min="11009" max="11009" width="13.88671875" style="13" bestFit="1" customWidth="1"/>
    <col min="11010" max="11010" width="12.44140625" style="13" bestFit="1" customWidth="1"/>
    <col min="11011" max="11264" width="8.88671875" style="13"/>
    <col min="11265" max="11265" width="13.88671875" style="13" bestFit="1" customWidth="1"/>
    <col min="11266" max="11266" width="12.44140625" style="13" bestFit="1" customWidth="1"/>
    <col min="11267" max="11520" width="8.88671875" style="13"/>
    <col min="11521" max="11521" width="13.88671875" style="13" bestFit="1" customWidth="1"/>
    <col min="11522" max="11522" width="12.44140625" style="13" bestFit="1" customWidth="1"/>
    <col min="11523" max="11776" width="8.88671875" style="13"/>
    <col min="11777" max="11777" width="13.88671875" style="13" bestFit="1" customWidth="1"/>
    <col min="11778" max="11778" width="12.44140625" style="13" bestFit="1" customWidth="1"/>
    <col min="11779" max="12032" width="8.88671875" style="13"/>
    <col min="12033" max="12033" width="13.88671875" style="13" bestFit="1" customWidth="1"/>
    <col min="12034" max="12034" width="12.44140625" style="13" bestFit="1" customWidth="1"/>
    <col min="12035" max="12288" width="8.88671875" style="13"/>
    <col min="12289" max="12289" width="13.88671875" style="13" bestFit="1" customWidth="1"/>
    <col min="12290" max="12290" width="12.44140625" style="13" bestFit="1" customWidth="1"/>
    <col min="12291" max="12544" width="8.88671875" style="13"/>
    <col min="12545" max="12545" width="13.88671875" style="13" bestFit="1" customWidth="1"/>
    <col min="12546" max="12546" width="12.44140625" style="13" bestFit="1" customWidth="1"/>
    <col min="12547" max="12800" width="8.88671875" style="13"/>
    <col min="12801" max="12801" width="13.88671875" style="13" bestFit="1" customWidth="1"/>
    <col min="12802" max="12802" width="12.44140625" style="13" bestFit="1" customWidth="1"/>
    <col min="12803" max="13056" width="8.88671875" style="13"/>
    <col min="13057" max="13057" width="13.88671875" style="13" bestFit="1" customWidth="1"/>
    <col min="13058" max="13058" width="12.44140625" style="13" bestFit="1" customWidth="1"/>
    <col min="13059" max="13312" width="8.88671875" style="13"/>
    <col min="13313" max="13313" width="13.88671875" style="13" bestFit="1" customWidth="1"/>
    <col min="13314" max="13314" width="12.44140625" style="13" bestFit="1" customWidth="1"/>
    <col min="13315" max="13568" width="8.88671875" style="13"/>
    <col min="13569" max="13569" width="13.88671875" style="13" bestFit="1" customWidth="1"/>
    <col min="13570" max="13570" width="12.44140625" style="13" bestFit="1" customWidth="1"/>
    <col min="13571" max="13824" width="8.88671875" style="13"/>
    <col min="13825" max="13825" width="13.88671875" style="13" bestFit="1" customWidth="1"/>
    <col min="13826" max="13826" width="12.44140625" style="13" bestFit="1" customWidth="1"/>
    <col min="13827" max="14080" width="8.88671875" style="13"/>
    <col min="14081" max="14081" width="13.88671875" style="13" bestFit="1" customWidth="1"/>
    <col min="14082" max="14082" width="12.44140625" style="13" bestFit="1" customWidth="1"/>
    <col min="14083" max="14336" width="8.88671875" style="13"/>
    <col min="14337" max="14337" width="13.88671875" style="13" bestFit="1" customWidth="1"/>
    <col min="14338" max="14338" width="12.44140625" style="13" bestFit="1" customWidth="1"/>
    <col min="14339" max="14592" width="8.88671875" style="13"/>
    <col min="14593" max="14593" width="13.88671875" style="13" bestFit="1" customWidth="1"/>
    <col min="14594" max="14594" width="12.44140625" style="13" bestFit="1" customWidth="1"/>
    <col min="14595" max="14848" width="8.88671875" style="13"/>
    <col min="14849" max="14849" width="13.88671875" style="13" bestFit="1" customWidth="1"/>
    <col min="14850" max="14850" width="12.44140625" style="13" bestFit="1" customWidth="1"/>
    <col min="14851" max="15104" width="8.88671875" style="13"/>
    <col min="15105" max="15105" width="13.88671875" style="13" bestFit="1" customWidth="1"/>
    <col min="15106" max="15106" width="12.44140625" style="13" bestFit="1" customWidth="1"/>
    <col min="15107" max="15360" width="8.88671875" style="13"/>
    <col min="15361" max="15361" width="13.88671875" style="13" bestFit="1" customWidth="1"/>
    <col min="15362" max="15362" width="12.44140625" style="13" bestFit="1" customWidth="1"/>
    <col min="15363" max="15616" width="8.88671875" style="13"/>
    <col min="15617" max="15617" width="13.88671875" style="13" bestFit="1" customWidth="1"/>
    <col min="15618" max="15618" width="12.44140625" style="13" bestFit="1" customWidth="1"/>
    <col min="15619" max="15872" width="8.88671875" style="13"/>
    <col min="15873" max="15873" width="13.88671875" style="13" bestFit="1" customWidth="1"/>
    <col min="15874" max="15874" width="12.44140625" style="13" bestFit="1" customWidth="1"/>
    <col min="15875" max="16128" width="8.88671875" style="13"/>
    <col min="16129" max="16129" width="13.88671875" style="13" bestFit="1" customWidth="1"/>
    <col min="16130" max="16130" width="12.44140625" style="13" bestFit="1" customWidth="1"/>
    <col min="16131" max="16384" width="8.88671875" style="13"/>
  </cols>
  <sheetData>
    <row r="1" spans="1:4" x14ac:dyDescent="0.25">
      <c r="A1" s="13" t="s">
        <v>7</v>
      </c>
      <c r="B1" s="13">
        <v>2650</v>
      </c>
      <c r="C1" s="13" t="s">
        <v>16</v>
      </c>
    </row>
    <row r="2" spans="1:4" x14ac:dyDescent="0.25">
      <c r="A2" s="13" t="s">
        <v>78</v>
      </c>
      <c r="B2" s="13">
        <v>1000</v>
      </c>
      <c r="C2" s="13" t="s">
        <v>48</v>
      </c>
    </row>
    <row r="3" spans="1:4" x14ac:dyDescent="0.25">
      <c r="A3" s="13" t="s">
        <v>83</v>
      </c>
      <c r="B3" s="13">
        <v>100</v>
      </c>
      <c r="C3" s="13" t="s">
        <v>49</v>
      </c>
    </row>
    <row r="4" spans="1:4" x14ac:dyDescent="0.25">
      <c r="A4" s="13" t="s">
        <v>50</v>
      </c>
      <c r="B4" s="13">
        <v>60</v>
      </c>
      <c r="C4" s="13" t="s">
        <v>51</v>
      </c>
    </row>
    <row r="5" spans="1:4" x14ac:dyDescent="0.25">
      <c r="A5" s="13" t="s">
        <v>79</v>
      </c>
      <c r="B5" s="13">
        <v>799.2</v>
      </c>
    </row>
    <row r="6" spans="1:4" x14ac:dyDescent="0.25">
      <c r="A6" s="13" t="s">
        <v>80</v>
      </c>
      <c r="B6" s="13">
        <v>4100</v>
      </c>
    </row>
    <row r="7" spans="1:4" x14ac:dyDescent="0.25">
      <c r="A7" s="13" t="s">
        <v>86</v>
      </c>
      <c r="B7" s="13">
        <v>0.1</v>
      </c>
    </row>
    <row r="8" spans="1:4" ht="14.4" x14ac:dyDescent="0.3">
      <c r="A8" s="13" t="s">
        <v>89</v>
      </c>
      <c r="B8">
        <v>2</v>
      </c>
    </row>
    <row r="9" spans="1:4" ht="14.4" x14ac:dyDescent="0.3">
      <c r="A9" s="14" t="s">
        <v>42</v>
      </c>
      <c r="B9">
        <f>B22*B23</f>
        <v>9.1545793617903021E-2</v>
      </c>
      <c r="C9" s="14" t="s">
        <v>52</v>
      </c>
      <c r="D9" s="13" t="s">
        <v>91</v>
      </c>
    </row>
    <row r="10" spans="1:4" ht="14.4" x14ac:dyDescent="0.3">
      <c r="A10" s="13" t="s">
        <v>53</v>
      </c>
      <c r="B10">
        <v>500</v>
      </c>
      <c r="C10" s="13" t="s">
        <v>52</v>
      </c>
      <c r="D10" s="13" t="s">
        <v>54</v>
      </c>
    </row>
    <row r="11" spans="1:4" ht="14.4" x14ac:dyDescent="0.3">
      <c r="A11" s="13" t="s">
        <v>55</v>
      </c>
      <c r="B11">
        <v>500</v>
      </c>
      <c r="C11" s="13" t="s">
        <v>52</v>
      </c>
      <c r="D11" s="13" t="s">
        <v>56</v>
      </c>
    </row>
    <row r="12" spans="1:4" ht="14.4" x14ac:dyDescent="0.3">
      <c r="A12" s="13" t="s">
        <v>57</v>
      </c>
      <c r="B12">
        <v>5.0000000000000001E-3</v>
      </c>
      <c r="C12" s="13" t="s">
        <v>52</v>
      </c>
      <c r="D12" s="13" t="s">
        <v>58</v>
      </c>
    </row>
    <row r="13" spans="1:4" ht="14.4" x14ac:dyDescent="0.3">
      <c r="A13" s="13" t="s">
        <v>59</v>
      </c>
      <c r="B13">
        <v>250</v>
      </c>
    </row>
    <row r="14" spans="1:4" x14ac:dyDescent="0.25">
      <c r="A14" s="13" t="s">
        <v>81</v>
      </c>
      <c r="B14" s="17">
        <v>965.2</v>
      </c>
    </row>
    <row r="15" spans="1:4" x14ac:dyDescent="0.25">
      <c r="A15" s="13" t="s">
        <v>82</v>
      </c>
      <c r="B15" s="17">
        <f>B3/B14</f>
        <v>0.10360547036883547</v>
      </c>
      <c r="C15" s="13" t="s">
        <v>60</v>
      </c>
    </row>
    <row r="16" spans="1:4" x14ac:dyDescent="0.25">
      <c r="B16" s="17"/>
    </row>
    <row r="17" spans="1:5" ht="14.4" x14ac:dyDescent="0.3">
      <c r="B17"/>
    </row>
    <row r="18" spans="1:5" ht="14.4" x14ac:dyDescent="0.3">
      <c r="A18" s="13" t="s">
        <v>61</v>
      </c>
      <c r="B18">
        <f>(B7*B5*B6)+((1-B7)*B2*B1)</f>
        <v>2712672</v>
      </c>
      <c r="C18" s="13" t="s">
        <v>62</v>
      </c>
      <c r="E18" s="13" t="s">
        <v>85</v>
      </c>
    </row>
    <row r="19" spans="1:5" ht="14.4" x14ac:dyDescent="0.3">
      <c r="A19" s="13" t="s">
        <v>63</v>
      </c>
      <c r="B19">
        <f>B5*B6</f>
        <v>3276720</v>
      </c>
    </row>
    <row r="20" spans="1:5" ht="14.4" x14ac:dyDescent="0.3">
      <c r="A20" s="13" t="s">
        <v>64</v>
      </c>
      <c r="B20">
        <f>B10*B11</f>
        <v>250000</v>
      </c>
    </row>
    <row r="21" spans="1:5" ht="14.4" x14ac:dyDescent="0.3">
      <c r="B21"/>
    </row>
    <row r="22" spans="1:5" x14ac:dyDescent="0.25">
      <c r="A22" s="13" t="s">
        <v>65</v>
      </c>
      <c r="B22" s="17">
        <f>B15/(B20*B7)</f>
        <v>4.1442188147534188E-6</v>
      </c>
      <c r="C22" s="13" t="s">
        <v>66</v>
      </c>
      <c r="D22" s="13" t="s">
        <v>67</v>
      </c>
    </row>
    <row r="23" spans="1:5" ht="14.4" x14ac:dyDescent="0.3">
      <c r="A23" s="14" t="s">
        <v>31</v>
      </c>
      <c r="B23">
        <v>22090</v>
      </c>
      <c r="C23" s="14" t="s">
        <v>68</v>
      </c>
      <c r="D23" s="14">
        <f>0.0000000317098*B23</f>
        <v>7.0046948200000003E-4</v>
      </c>
      <c r="E23" s="14" t="s">
        <v>69</v>
      </c>
    </row>
    <row r="24" spans="1:5" ht="14.4" x14ac:dyDescent="0.3">
      <c r="A24" s="13" t="s">
        <v>70</v>
      </c>
      <c r="B24">
        <f>(B19/B18)*B22*B7</f>
        <v>5.005929457995225E-7</v>
      </c>
      <c r="C24" s="13" t="s">
        <v>66</v>
      </c>
    </row>
    <row r="25" spans="1:5" ht="14.4" x14ac:dyDescent="0.3">
      <c r="A25" s="14" t="s">
        <v>71</v>
      </c>
      <c r="B25">
        <f>B9/B24</f>
        <v>182874.71764447374</v>
      </c>
      <c r="C25" s="14" t="s">
        <v>68</v>
      </c>
      <c r="D25" s="14">
        <f>0.0000000317098*B25</f>
        <v>5.7989207215627331E-3</v>
      </c>
      <c r="E25" s="14" t="s">
        <v>69</v>
      </c>
    </row>
    <row r="26" spans="1:5" ht="14.4" x14ac:dyDescent="0.3">
      <c r="B26"/>
    </row>
    <row r="27" spans="1:5" ht="14.4" x14ac:dyDescent="0.3">
      <c r="A27" s="13" t="s">
        <v>72</v>
      </c>
      <c r="B27">
        <f>B24/(1+(4.234*(B9*B8*B1*B2)/(B11^2*B18^2*B24)))</f>
        <v>5.0059182911738164E-7</v>
      </c>
      <c r="C27" s="13" t="s">
        <v>66</v>
      </c>
      <c r="D27" s="13" t="s">
        <v>73</v>
      </c>
    </row>
    <row r="28" spans="1:5" ht="14.4" x14ac:dyDescent="0.3">
      <c r="A28" s="14" t="s">
        <v>74</v>
      </c>
      <c r="B28">
        <f>B9/B27</f>
        <v>182875.12558747106</v>
      </c>
      <c r="C28" s="14" t="s">
        <v>68</v>
      </c>
      <c r="D28" s="14">
        <f>0.0000000317098*B28</f>
        <v>5.79893365735359E-3</v>
      </c>
    </row>
    <row r="29" spans="1:5" ht="14.4" x14ac:dyDescent="0.3">
      <c r="B29"/>
    </row>
    <row r="30" spans="1:5" ht="14.4" x14ac:dyDescent="0.3">
      <c r="A30" s="13" t="s">
        <v>75</v>
      </c>
      <c r="B30">
        <f>B12*B11</f>
        <v>2.5</v>
      </c>
      <c r="D30" s="13" t="s">
        <v>76</v>
      </c>
    </row>
    <row r="31" spans="1:5" ht="14.4" x14ac:dyDescent="0.3">
      <c r="A31" s="13" t="s">
        <v>65</v>
      </c>
      <c r="B31">
        <f>B15/(B30*1)</f>
        <v>4.1442188147534184E-2</v>
      </c>
      <c r="C31" s="13" t="s">
        <v>77</v>
      </c>
    </row>
    <row r="32" spans="1:5" ht="14.4" x14ac:dyDescent="0.3">
      <c r="A32" s="14" t="s">
        <v>31</v>
      </c>
      <c r="B32">
        <f>B9/B31</f>
        <v>2.2090000000000001</v>
      </c>
      <c r="C32" s="14"/>
      <c r="D32" s="14">
        <f>0.0000000317098*B32</f>
        <v>7.0046948200000005E-8</v>
      </c>
    </row>
    <row r="33" spans="1:5" ht="14.4" x14ac:dyDescent="0.3">
      <c r="A33" s="14" t="s">
        <v>71</v>
      </c>
      <c r="B33">
        <f>B32+4.234*(B32/B12)^2*((B8*B18)/B19^2)</f>
        <v>2.6265907722125306</v>
      </c>
      <c r="C33" s="14"/>
      <c r="D33" s="14">
        <f>0.0000000317098*B33</f>
        <v>8.3288668068704906E-8</v>
      </c>
      <c r="E33" s="1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Compressibility</vt:lpstr>
      <vt:lpstr>Viscosity</vt:lpstr>
      <vt:lpstr>Inplace_Flowing_Enthalpy</vt:lpstr>
      <vt:lpstr>Tracers</vt:lpstr>
      <vt:lpstr>Thermal Breakthrough_tccalc</vt:lpstr>
      <vt:lpstr>Thermal Breakthrough_tcknown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Esuru Ok</dc:creator>
  <cp:lastModifiedBy>Rita Esuru Ok</cp:lastModifiedBy>
  <dcterms:created xsi:type="dcterms:W3CDTF">2025-07-10T07:57:14Z</dcterms:created>
  <dcterms:modified xsi:type="dcterms:W3CDTF">2025-07-16T09:18:55Z</dcterms:modified>
</cp:coreProperties>
</file>